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<sst xmlns="http://schemas.openxmlformats.org/spreadsheetml/2006/main" count="2986" uniqueCount="2073">
  <si>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</si>
  <si>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</si>
  <si>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</si>
  <si>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</si>
  <si>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</si>
  <si>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</si>
  <si>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</si>
  <si>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</si>
  <si>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</si>
  <si>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</si>
  <si>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</si>
  <si>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</si>
  <si>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</si>
  <si>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</si>
  <si>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</si>
  <si>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</si>
  <si>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</si>
  <si>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</si>
  <si>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</si>
  <si>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</si>
  <si>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</si>
  <si>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</si>
  <si>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</si>
  <si>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</si>
  <si>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</si>
  <si>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</si>
  <si>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</si>
  <si>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</si>
  <si>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</si>
  <si>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</si>
  <si>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</si>
  <si>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</si>
  <si>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</si>
  <si>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</si>
  <si>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</si>
  <si>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</si>
  <si>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</si>
  <si>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</si>
  <si>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</si>
  <si>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</si>
  <si>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</si>
  <si>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</si>
  <si>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</si>
  <si>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</si>
  <si>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</si>
  <si>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</si>
  <si>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</si>
  <si>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</si>
  <si>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</si>
  <si>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</si>
  <si>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</si>
  <si>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</si>
  <si>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</si>
  <si>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</si>
  <si>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</si>
  <si>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</si>
  <si>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</si>
  <si>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</si>
  <si>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</si>
  <si>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</si>
  <si>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</si>
  <si>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</si>
  <si>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</si>
  <si>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</si>
  <si>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</si>
  <si>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</si>
  <si>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</si>
  <si>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</si>
  <si>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</si>
  <si>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</si>
  <si>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</si>
  <si>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</si>
  <si>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</si>
  <si>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</si>
  <si>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</si>
  <si>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</si>
  <si>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</si>
  <si>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</si>
  <si>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</si>
  <si>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</si>
  <si>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</si>
  <si>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</si>
  <si>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</si>
  <si>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</si>
  <si>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</si>
  <si>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</si>
  <si>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</si>
  <si>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</si>
  <si>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</si>
  <si>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</si>
  <si>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</si>
  <si>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</si>
  <si>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</si>
  <si>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</si>
  <si>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</si>
  <si>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</si>
  <si>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</si>
  <si>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</si>
  <si>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</si>
  <si>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</si>
  <si>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</si>
  <si>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</si>
  <si>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</si>
  <si>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</si>
  <si>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</si>
  <si>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</si>
  <si>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</si>
  <si>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</si>
  <si>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</si>
  <si>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</si>
  <si>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</si>
  <si>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</si>
  <si>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</si>
  <si>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</si>
  <si>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</si>
  <si>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</si>
  <si>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</si>
  <si>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</si>
  <si>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</si>
  <si>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</si>
  <si>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</si>
  <si>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</si>
  <si>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</si>
  <si>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</si>
  <si>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</si>
  <si>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</si>
  <si>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</si>
  <si>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</si>
  <si>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</si>
  <si>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</si>
  <si>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</si>
  <si>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</si>
  <si>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</si>
  <si>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</si>
  <si>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</si>
  <si>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</si>
  <si>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</si>
  <si>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</si>
  <si>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</si>
  <si>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</si>
  <si>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</si>
  <si>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</si>
  <si>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</si>
  <si>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</si>
  <si>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</si>
  <si>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</si>
  <si>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</si>
  <si>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</si>
  <si>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</si>
  <si>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</si>
  <si>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</si>
  <si>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</si>
  <si>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</si>
  <si>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</si>
  <si>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</si>
  <si>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</si>
  <si>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</si>
  <si>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</si>
  <si>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</si>
  <si>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</si>
  <si>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</si>
  <si>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</si>
  <si>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</si>
  <si>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</si>
  <si>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</si>
  <si>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</si>
  <si>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</si>
  <si>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</si>
  <si>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</si>
  <si>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</si>
  <si>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</si>
  <si>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</si>
  <si>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</si>
  <si>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</si>
  <si>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</si>
  <si>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</si>
  <si>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</si>
  <si>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</si>
  <si>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</si>
  <si>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</si>
  <si>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</si>
  <si>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</si>
  <si>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</si>
  <si>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</si>
  <si>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</si>
  <si>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</si>
  <si>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</si>
  <si>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</si>
  <si>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</si>
  <si>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</si>
  <si>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</si>
  <si>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</si>
  <si>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</si>
  <si>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</si>
  <si>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</si>
  <si>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</si>
  <si>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</si>
  <si>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</si>
  <si>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</si>
  <si>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</si>
  <si>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</si>
  <si>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</si>
  <si>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</si>
  <si>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</si>
  <si>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</si>
  <si>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</si>
  <si>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</si>
  <si>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</si>
  <si>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</si>
  <si>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</si>
  <si>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</si>
  <si>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</si>
  <si>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</si>
  <si>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</si>
  <si>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</si>
  <si>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</si>
  <si>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</si>
  <si>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</si>
  <si>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</si>
  <si>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</si>
  <si>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</si>
  <si>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</si>
  <si>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</si>
  <si>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</si>
  <si>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</si>
  <si>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</si>
  <si>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</si>
  <si>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</si>
  <si>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</si>
  <si>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</si>
  <si>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</si>
  <si>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</si>
  <si>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</si>
  <si>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</si>
  <si>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</si>
  <si>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</si>
  <si>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</si>
  <si>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</si>
  <si>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</si>
  <si>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</si>
  <si>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</si>
  <si>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</si>
  <si>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</si>
  <si>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</si>
  <si>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</si>
  <si>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</si>
  <si>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</si>
  <si>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</si>
  <si>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</si>
  <si>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</si>
  <si>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</si>
  <si>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</si>
  <si>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</si>
  <si>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</si>
  <si>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</si>
  <si>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</si>
  <si>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</si>
  <si>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</si>
  <si>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</si>
  <si>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</si>
  <si>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</si>
  <si>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</si>
  <si>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</si>
  <si>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</si>
  <si>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</si>
  <si>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</si>
  <si>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</si>
  <si>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</si>
  <si>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</si>
  <si>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</si>
  <si>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</si>
  <si>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</si>
  <si>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</si>
  <si>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</si>
  <si>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</si>
  <si>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</si>
  <si>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</si>
  <si>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</si>
  <si>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</si>
  <si>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</si>
  <si>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</si>
  <si>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</si>
  <si>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</si>
  <si>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</si>
  <si>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</si>
  <si>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</si>
  <si>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</si>
  <si>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</si>
  <si>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</si>
  <si>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</si>
  <si>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</si>
  <si>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</si>
  <si>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</si>
  <si>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</si>
  <si>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</si>
  <si>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</si>
  <si>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</si>
  <si>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</si>
  <si>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</si>
  <si>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</si>
  <si>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</si>
  <si>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</si>
  <si>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</si>
  <si>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</si>
  <si>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</si>
  <si>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</si>
  <si>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</si>
  <si>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</si>
  <si>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</si>
  <si>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</si>
  <si>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</si>
  <si>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</si>
  <si>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</si>
  <si>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</si>
  <si>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</si>
  <si>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</si>
  <si>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</si>
  <si>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</si>
  <si>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</si>
  <si>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</si>
  <si>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</si>
  <si>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</si>
  <si>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</si>
  <si>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</si>
  <si>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</si>
  <si>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</si>
  <si>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</si>
  <si>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</si>
  <si>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</si>
  <si>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</si>
  <si>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</si>
  <si>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</si>
  <si>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</si>
  <si>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</si>
  <si>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</si>
  <si>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</si>
  <si>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</si>
  <si>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</si>
  <si>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</si>
  <si>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</si>
  <si>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</si>
  <si>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</si>
  <si>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</si>
  <si>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</si>
  <si>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</si>
  <si>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</si>
  <si>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</si>
  <si>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</si>
  <si>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</si>
  <si>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</si>
  <si>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</si>
  <si>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</si>
  <si>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</si>
  <si>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</si>
  <si>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</si>
  <si>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</si>
  <si>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</si>
  <si>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</si>
  <si>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</si>
  <si>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</si>
  <si>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</si>
  <si>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</si>
  <si>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</si>
  <si>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</si>
  <si>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</si>
  <si>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</si>
  <si>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</si>
  <si>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</si>
  <si>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</si>
  <si>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</si>
  <si>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</si>
  <si>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</si>
  <si>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</si>
  <si>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</si>
  <si>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</si>
  <si>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</si>
  <si>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</si>
  <si>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</si>
  <si>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</si>
  <si>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</si>
  <si>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</si>
  <si>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</si>
  <si>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</si>
  <si>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</si>
  <si>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</si>
  <si>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</si>
  <si>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</si>
  <si>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</si>
  <si>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</si>
  <si>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</si>
  <si>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</si>
  <si>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</si>
  <si>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</si>
  <si>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</si>
  <si>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</si>
  <si>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</si>
  <si>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</si>
  <si>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</si>
  <si>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</si>
  <si>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</si>
  <si>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</si>
  <si>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</si>
  <si>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</si>
  <si>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</si>
  <si>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</si>
  <si>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</si>
  <si>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</si>
  <si>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</si>
  <si>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</si>
  <si>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</si>
  <si>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</si>
  <si>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</si>
  <si>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</si>
  <si>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</si>
  <si>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</si>
  <si>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</si>
  <si>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</si>
  <si>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</si>
  <si>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</si>
  <si>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</si>
  <si>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</si>
  <si>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</si>
  <si>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</si>
  <si>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</si>
  <si>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</si>
  <si>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</si>
  <si>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</si>
  <si>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</si>
  <si>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</si>
  <si>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</si>
  <si>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</si>
  <si>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</si>
  <si>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</si>
  <si>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</si>
  <si>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</si>
  <si>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</si>
  <si>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</si>
  <si>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</si>
  <si>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</si>
  <si>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</si>
  <si>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</si>
  <si>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</si>
  <si>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</si>
  <si>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</si>
  <si>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</si>
  <si>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</si>
  <si>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</si>
  <si>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</si>
  <si>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</si>
  <si>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</si>
  <si>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</si>
  <si>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</si>
  <si>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</si>
  <si>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</si>
  <si>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</si>
  <si>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</si>
  <si>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</si>
  <si>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</si>
  <si>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</si>
  <si>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</si>
  <si>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</si>
  <si>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</si>
  <si>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</si>
  <si>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</si>
  <si>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</si>
  <si>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</si>
  <si>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</si>
  <si>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</si>
  <si>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</si>
  <si>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</si>
  <si>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</si>
  <si>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</si>
  <si>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</si>
  <si>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</si>
  <si>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</si>
  <si>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</si>
  <si>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</si>
  <si>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</si>
  <si>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</si>
  <si>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</si>
  <si>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</si>
  <si>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</si>
  <si>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</si>
  <si>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</si>
  <si>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</si>
  <si>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</si>
  <si>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</si>
  <si>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</si>
  <si>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</si>
  <si>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</si>
  <si>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</si>
  <si>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</si>
  <si>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</si>
  <si>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</si>
  <si>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</si>
  <si>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</si>
  <si>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</si>
  <si>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</si>
  <si>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</si>
  <si>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</si>
  <si>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</si>
  <si>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</si>
  <si>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</si>
  <si>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</si>
  <si>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</si>
  <si>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</si>
  <si>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</si>
  <si>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</si>
  <si>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</si>
  <si>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</si>
  <si>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</si>
  <si>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</si>
  <si>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</si>
  <si>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</si>
  <si>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</si>
  <si>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</si>
  <si>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</si>
  <si>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</si>
  <si>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</si>
  <si>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</si>
  <si>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</si>
  <si>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</si>
  <si>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</si>
  <si>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</si>
  <si>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</si>
  <si>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</si>
  <si>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</si>
  <si>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</si>
  <si>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</si>
  <si>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</si>
  <si>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</si>
  <si>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</si>
  <si>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</si>
  <si>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</si>
  <si>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</si>
  <si>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</si>
  <si>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</si>
  <si>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</si>
  <si>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</si>
  <si>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</si>
  <si>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</si>
  <si>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</si>
  <si>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</si>
  <si>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</si>
  <si>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</si>
  <si>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</si>
  <si>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</si>
  <si>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</si>
  <si>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</si>
  <si>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</si>
  <si>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</si>
  <si>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</si>
  <si>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</si>
  <si>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</si>
  <si>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</si>
  <si>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</si>
  <si>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</si>
  <si>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</si>
  <si>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</si>
  <si>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</si>
  <si>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</si>
  <si>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</si>
  <si>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</si>
  <si>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</si>
  <si>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</si>
  <si>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</si>
  <si>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</si>
  <si>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</si>
  <si>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</si>
  <si>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</si>
  <si>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</si>
  <si>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</si>
  <si>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</si>
  <si>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</si>
  <si>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</si>
  <si>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</si>
  <si>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</si>
  <si>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</si>
  <si>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</si>
  <si>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</si>
  <si>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</si>
  <si>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</si>
  <si>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</si>
  <si>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</si>
  <si>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</si>
  <si>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</si>
  <si>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</si>
  <si>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</si>
  <si>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</si>
  <si>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</si>
  <si>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</si>
  <si>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</si>
  <si>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</si>
  <si>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</si>
  <si>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</si>
  <si>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</si>
  <si>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</si>
  <si>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</si>
  <si>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</si>
  <si>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</si>
  <si>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</si>
  <si>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</si>
  <si>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</si>
  <si>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</si>
  <si>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</si>
  <si>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</si>
  <si>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</si>
  <si>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</si>
  <si>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</si>
  <si>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</si>
  <si>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</si>
  <si>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</si>
  <si>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</si>
  <si>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</si>
  <si>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</si>
  <si>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</si>
  <si>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</si>
  <si>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</si>
  <si>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</si>
  <si>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</si>
  <si>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</si>
  <si>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</si>
  <si>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</si>
  <si>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</si>
  <si>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</si>
  <si>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</si>
  <si>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</si>
  <si>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</si>
  <si>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</si>
  <si>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</si>
  <si>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</si>
  <si>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</si>
  <si>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</si>
  <si>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</si>
  <si>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</si>
  <si>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</si>
  <si>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</si>
  <si>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</si>
  <si>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</si>
  <si>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</si>
  <si>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</si>
  <si>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</si>
  <si>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</si>
  <si>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</si>
  <si>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</si>
  <si>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</si>
  <si>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</si>
  <si>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</si>
  <si>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</si>
  <si>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</si>
  <si>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</si>
  <si>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</si>
  <si>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</si>
  <si>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</si>
  <si>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</si>
  <si>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</si>
  <si>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</si>
  <si>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</si>
  <si>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</si>
  <si>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</si>
  <si>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</si>
  <si>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</si>
  <si>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</si>
  <si>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</si>
  <si>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</si>
  <si>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</si>
  <si>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</si>
  <si>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</si>
  <si>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</si>
  <si>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</si>
  <si>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</si>
  <si>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</si>
  <si>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</si>
  <si>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</si>
  <si>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</si>
  <si>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</si>
  <si>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</si>
  <si>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</si>
  <si>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</si>
  <si>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</si>
  <si>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</si>
  <si>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</si>
  <si>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</si>
  <si>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</si>
  <si>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</si>
  <si>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</si>
  <si>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</si>
  <si>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</si>
  <si>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</si>
  <si>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</si>
  <si>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</si>
  <si>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</si>
  <si>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</si>
  <si>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</si>
  <si>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</si>
  <si>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</si>
  <si>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</si>
  <si>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</si>
  <si>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</si>
  <si>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</si>
  <si>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</si>
  <si>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</si>
  <si>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</si>
  <si>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</si>
  <si>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</si>
  <si>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</si>
  <si>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</si>
  <si>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</si>
  <si>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</si>
  <si>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</si>
  <si>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</si>
  <si>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</si>
  <si>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</si>
  <si>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</si>
  <si>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</si>
  <si>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</si>
  <si>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</si>
  <si>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</si>
  <si>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</si>
  <si>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</si>
  <si>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</si>
  <si>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</si>
  <si>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</si>
  <si>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</si>
  <si>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</si>
  <si>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</si>
  <si>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</si>
  <si>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</si>
  <si>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</si>
  <si>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</si>
  <si>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</si>
  <si>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</si>
  <si>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</si>
  <si>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</si>
  <si>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</si>
  <si>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</si>
  <si>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</si>
  <si>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</si>
  <si>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</si>
  <si>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</si>
  <si>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</si>
  <si>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</si>
  <si>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</si>
  <si>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</si>
  <si>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</si>
  <si>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</si>
  <si>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</si>
  <si>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</si>
  <si>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</si>
  <si>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</si>
  <si>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</si>
  <si>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</si>
  <si>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</si>
  <si>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</si>
  <si>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</si>
  <si>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</si>
  <si>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</si>
  <si>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</si>
  <si>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</si>
  <si>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</si>
  <si>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</si>
  <si>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</si>
  <si>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</si>
  <si>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</si>
  <si>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</si>
  <si>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</si>
  <si>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</si>
  <si>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</si>
  <si>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</si>
  <si>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</si>
  <si>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</si>
  <si>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</si>
  <si>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</si>
  <si>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</si>
  <si>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</si>
  <si>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</si>
  <si>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</si>
  <si>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</si>
  <si>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</si>
  <si>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</si>
  <si>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</si>
  <si>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</si>
  <si>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</si>
  <si>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</si>
  <si>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</si>
  <si>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</si>
  <si>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</si>
  <si>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</si>
  <si>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</si>
  <si>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</si>
  <si>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</si>
  <si>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</si>
  <si>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</si>
  <si>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</si>
  <si>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</si>
  <si>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</si>
  <si>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</si>
  <si>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</si>
  <si>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</si>
  <si>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</si>
  <si>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</si>
  <si>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</si>
  <si>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</si>
  <si>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</si>
  <si>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</si>
  <si>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</si>
  <si>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</si>
  <si>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</si>
  <si>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</si>
  <si>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</si>
  <si>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</si>
  <si>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</si>
  <si>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</si>
  <si>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</si>
  <si>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</si>
  <si>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</si>
  <si>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</si>
  <si>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</si>
  <si>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</si>
  <si>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</si>
  <si>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</si>
  <si>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</si>
  <si>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</si>
  <si>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</si>
  <si>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</si>
  <si>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</si>
  <si>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</si>
  <si>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</si>
  <si>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</si>
  <si>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</si>
  <si>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</si>
  <si>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</si>
  <si>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</si>
  <si>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</si>
  <si>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</si>
  <si>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</si>
  <si>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</si>
  <si>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</si>
  <si>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</si>
  <si>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</si>
  <si>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</si>
  <si>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</si>
  <si>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</si>
  <si>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</si>
  <si>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</si>
  <si>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</si>
  <si>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</si>
  <si>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</si>
  <si>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</si>
  <si>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</si>
  <si>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</si>
  <si>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</si>
  <si>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</si>
  <si>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</si>
  <si>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</si>
  <si>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</si>
  <si>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</si>
  <si>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</si>
  <si>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</si>
  <si>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</si>
  <si>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</si>
  <si>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</si>
  <si>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</si>
  <si>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</si>
  <si>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</si>
  <si>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</si>
  <si>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</si>
  <si>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</si>
  <si>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</si>
  <si>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</si>
  <si>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</si>
  <si>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</si>
  <si>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</si>
  <si>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</si>
  <si>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</si>
  <si>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</si>
  <si>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</si>
  <si>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</si>
  <si>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</si>
  <si>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</si>
  <si>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</si>
  <si>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</si>
  <si>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</si>
  <si>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</si>
  <si>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</si>
  <si>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</si>
  <si>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</si>
  <si>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</si>
  <si>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</si>
  <si>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</si>
  <si>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</si>
  <si>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</si>
  <si>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</si>
  <si>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</si>
  <si>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</si>
  <si>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</si>
  <si>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</si>
  <si>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</si>
  <si>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</si>
  <si>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</si>
  <si>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</si>
  <si>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</si>
  <si>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</si>
  <si>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</si>
  <si>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</si>
  <si>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</si>
  <si>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</si>
  <si>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</si>
  <si>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</si>
  <si>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</si>
  <si>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</si>
  <si>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</si>
  <si>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</si>
  <si>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</si>
  <si>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</si>
  <si>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</si>
  <si>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</si>
  <si>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</si>
  <si>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</si>
  <si>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</si>
  <si>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</si>
  <si>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</si>
  <si>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</si>
  <si>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</si>
  <si>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</si>
  <si>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</si>
  <si>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</si>
  <si>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</si>
  <si>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</si>
  <si>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</si>
  <si>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</si>
  <si>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</si>
  <si>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</si>
  <si>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</si>
  <si>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</si>
  <si>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</si>
  <si>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</si>
  <si>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</si>
  <si>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</si>
  <si>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</si>
  <si>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</si>
  <si>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</si>
  <si>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</si>
  <si>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</si>
  <si>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</si>
  <si>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</si>
  <si>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</si>
  <si>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</si>
  <si>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</si>
  <si>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</si>
  <si>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</si>
  <si>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</si>
  <si>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</si>
  <si>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</si>
  <si>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</si>
  <si>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</si>
  <si>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</si>
  <si>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</si>
  <si>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</si>
  <si>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</si>
  <si>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</si>
  <si>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</si>
  <si>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</si>
  <si>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</si>
  <si>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</si>
  <si>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</si>
  <si>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</si>
  <si>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</si>
  <si>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</si>
  <si>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</si>
  <si>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</si>
  <si>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</si>
  <si>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</si>
  <si>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</si>
  <si>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</si>
  <si>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</si>
  <si>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</si>
  <si>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</si>
  <si>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</si>
  <si>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</si>
  <si>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</si>
  <si>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</si>
  <si>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</si>
  <si>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</si>
  <si>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</si>
  <si>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</si>
  <si>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</si>
  <si>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</si>
  <si>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</si>
  <si>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</si>
  <si>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</si>
  <si>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</si>
  <si>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</si>
  <si>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</si>
  <si>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</si>
  <si>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</si>
  <si>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</si>
  <si>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</si>
  <si>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</si>
  <si>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</si>
  <si>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</si>
  <si>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</si>
  <si>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</si>
  <si>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</si>
  <si>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</si>
  <si>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</si>
  <si>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</si>
  <si>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</si>
  <si>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</si>
  <si>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</si>
  <si>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</si>
  <si>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</si>
  <si>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</si>
  <si>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</si>
  <si>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</si>
  <si>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</si>
  <si>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</si>
  <si>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</si>
  <si>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</si>
  <si>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</si>
  <si>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</si>
  <si>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</si>
  <si>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</si>
  <si>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</si>
  <si>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</si>
  <si>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</si>
  <si>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</si>
  <si>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</si>
  <si>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</si>
  <si>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</si>
  <si>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</si>
  <si>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</si>
  <si>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</si>
  <si>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</si>
  <si>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</si>
  <si>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</si>
  <si>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</si>
  <si>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</si>
  <si>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</si>
  <si>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</si>
  <si>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</si>
  <si>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</si>
  <si>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</si>
  <si>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</si>
  <si>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</si>
  <si>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</si>
  <si>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</si>
  <si>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</si>
  <si>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</si>
  <si>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</si>
  <si>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</si>
  <si>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</si>
  <si>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</si>
  <si>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</si>
  <si>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</si>
  <si>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</si>
  <si>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</si>
  <si>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</si>
  <si>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</si>
  <si>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</si>
  <si>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</si>
  <si>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</si>
  <si>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</si>
  <si>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</si>
  <si>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</si>
  <si>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</si>
  <si>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</si>
  <si>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</si>
  <si>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</si>
  <si>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</si>
  <si>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</si>
  <si>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</si>
  <si>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</si>
  <si>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</si>
  <si>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</si>
  <si>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</si>
  <si>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</si>
  <si>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</si>
  <si>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</si>
  <si>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</si>
  <si>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</si>
  <si>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</si>
  <si>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</si>
  <si>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</si>
  <si>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</si>
  <si>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</si>
  <si>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</si>
  <si>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</si>
  <si>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</si>
  <si>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</si>
  <si>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</si>
  <si>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</si>
  <si>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</si>
  <si>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</si>
  <si>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</si>
  <si>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</si>
  <si>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</si>
  <si>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</si>
  <si>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</si>
  <si>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</si>
  <si>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</si>
  <si>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</si>
  <si>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</si>
  <si>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</si>
  <si>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</si>
  <si>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</si>
  <si>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</si>
  <si>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</si>
  <si>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</si>
  <si>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</si>
  <si>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</si>
  <si>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</si>
  <si>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</si>
  <si>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</si>
  <si>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</si>
  <si>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</si>
  <si>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</si>
  <si>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</si>
  <si>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</si>
  <si>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</si>
  <si>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</si>
  <si>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</si>
  <si>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</si>
  <si>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</si>
  <si>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</si>
  <si>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</si>
  <si>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</si>
  <si>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</si>
  <si>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</si>
  <si>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</si>
  <si>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</si>
  <si>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</si>
  <si>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</si>
  <si>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</si>
  <si>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</si>
  <si>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</si>
  <si>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</si>
  <si>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</si>
  <si>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</si>
  <si>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</si>
  <si>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</si>
  <si>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</si>
  <si>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</si>
  <si>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</si>
  <si>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</si>
  <si>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</si>
  <si>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</si>
  <si>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</si>
  <si>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</si>
  <si>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</si>
  <si>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</si>
  <si>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</si>
  <si>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</si>
  <si>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</si>
  <si>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</si>
  <si>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</si>
  <si>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</si>
  <si>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</si>
  <si>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</si>
  <si>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</si>
  <si>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</si>
  <si>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</si>
  <si>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</si>
  <si>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</si>
  <si>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</si>
  <si>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</si>
  <si>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</si>
  <si>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</si>
  <si>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</si>
  <si>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</si>
  <si>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</si>
  <si>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</si>
  <si>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</si>
  <si>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</si>
  <si>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</si>
  <si>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</si>
  <si>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</si>
  <si>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</si>
  <si>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</si>
  <si>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</si>
  <si>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</si>
  <si>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</si>
  <si>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</si>
  <si>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</si>
  <si>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</si>
  <si>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</si>
  <si>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</si>
  <si>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</si>
  <si>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</si>
  <si>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</si>
  <si>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</si>
  <si>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</si>
  <si>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</si>
  <si>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</si>
  <si>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</si>
  <si>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</si>
  <si>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</si>
  <si>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</si>
  <si>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</si>
  <si>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</si>
  <si>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</si>
  <si>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</si>
  <si>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</si>
  <si>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</si>
  <si>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</si>
  <si>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</si>
  <si>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</si>
  <si>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</si>
  <si>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</si>
  <si>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</si>
  <si>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</si>
  <si>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</si>
  <si>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</si>
  <si>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</si>
  <si>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</si>
  <si>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</si>
  <si>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</si>
  <si>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</si>
  <si>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</si>
  <si>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</si>
  <si>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</si>
  <si>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</si>
  <si>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</si>
  <si>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</si>
  <si>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</si>
  <si>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</si>
  <si>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</si>
  <si>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</si>
  <si>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</si>
  <si>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</si>
  <si>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</si>
  <si>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</si>
  <si>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</si>
  <si>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</si>
  <si>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</si>
  <si>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</si>
  <si>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</si>
  <si>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</si>
  <si>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</si>
  <si>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</si>
  <si>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</si>
  <si>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</si>
  <si>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</si>
  <si>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</si>
  <si>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</si>
  <si>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</si>
  <si>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</si>
  <si>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</si>
  <si>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</si>
  <si>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</si>
  <si>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</si>
  <si>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</si>
  <si>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</si>
  <si>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</si>
  <si>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</si>
  <si>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</si>
  <si>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</si>
  <si>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</si>
  <si>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</si>
  <si>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</si>
  <si>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</si>
  <si>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</si>
  <si>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</si>
  <si>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</si>
  <si>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</si>
  <si>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</si>
  <si>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</si>
  <si>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</si>
  <si>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</si>
  <si>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</si>
  <si>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</si>
  <si>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</si>
  <si>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</si>
  <si>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</si>
  <si>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</si>
  <si>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</si>
  <si>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</si>
  <si>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</si>
  <si>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</si>
  <si>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</si>
  <si>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</si>
  <si>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</si>
  <si>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</si>
  <si>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</si>
  <si>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</si>
  <si>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</si>
  <si>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</si>
  <si>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</si>
  <si>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</si>
  <si>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</si>
  <si>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</si>
  <si>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</si>
  <si>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</si>
  <si>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</si>
  <si>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</si>
  <si>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</si>
  <si>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</si>
  <si>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</si>
  <si>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</si>
  <si>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</si>
  <si>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</si>
  <si>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</si>
  <si>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</si>
  <si>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</si>
  <si>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</si>
  <si>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</si>
  <si>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</si>
  <si>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</si>
  <si>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</si>
  <si>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</si>
  <si>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</si>
  <si>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</si>
  <si>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</si>
  <si>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</si>
  <si>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</si>
  <si>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</si>
  <si>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</si>
  <si>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</si>
  <si>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</si>
  <si>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</si>
  <si>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</si>
  <si>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</si>
  <si>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</si>
  <si>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</si>
  <si>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</si>
  <si>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</si>
  <si>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</si>
  <si>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</si>
  <si>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</si>
  <si>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</si>
  <si>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</si>
  <si>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</si>
  <si>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</si>
  <si>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</si>
  <si>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</si>
  <si>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</si>
  <si>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</si>
  <si>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</si>
  <si>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</si>
  <si>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</si>
  <si>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</si>
  <si>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</si>
  <si>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</si>
  <si>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</si>
  <si>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</si>
  <si>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</si>
  <si>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</si>
  <si>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</si>
  <si>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</si>
  <si>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</si>
  <si>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</si>
  <si>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</si>
  <si>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</si>
  <si>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</si>
  <si>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</si>
  <si>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</si>
  <si>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</si>
  <si>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</si>
  <si>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</si>
  <si>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</si>
  <si>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</si>
  <si>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</si>
  <si>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</si>
  <si>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</si>
  <si>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</si>
  <si>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</si>
  <si>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</si>
  <si>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</si>
  <si>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</si>
  <si>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</si>
  <si>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</si>
  <si>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</si>
  <si>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</si>
  <si>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</si>
  <si>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</si>
  <si>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</si>
  <si>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</si>
  <si>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</si>
  <si>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</si>
  <si>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</si>
  <si>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</si>
  <si>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</si>
  <si>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</si>
  <si>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</si>
  <si>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</si>
  <si>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</si>
  <si>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</si>
  <si>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</si>
  <si>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</si>
  <si>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</si>
  <si>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</si>
  <si>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</si>
  <si>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</si>
  <si>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</si>
  <si>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</si>
  <si>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</si>
  <si>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</si>
  <si>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</si>
  <si>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</si>
  <si>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</si>
  <si>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</si>
  <si>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</si>
  <si>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</si>
  <si>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</si>
  <si>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</si>
  <si>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</si>
  <si>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</si>
  <si>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</si>
  <si>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</si>
  <si>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</si>
  <si>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</si>
  <si>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</si>
  <si>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</si>
  <si>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</si>
  <si>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</si>
  <si>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</si>
  <si>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</si>
  <si>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</si>
  <si>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</si>
  <si>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</si>
  <si>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</si>
  <si>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</si>
  <si>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</si>
  <si>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</si>
  <si>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</si>
  <si>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</si>
  <si>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</si>
  <si>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</si>
  <si>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</si>
  <si>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</si>
  <si>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</si>
  <si>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</si>
  <si>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</si>
  <si>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</si>
  <si>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</si>
  <si>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</si>
  <si>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</si>
  <si>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</si>
  <si>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</si>
  <si>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</si>
  <si>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</si>
  <si>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</si>
  <si>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</si>
  <si>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</si>
  <si>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</si>
  <si>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</si>
  <si>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</si>
  <si>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</si>
  <si>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</si>
  <si>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</si>
  <si>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</si>
  <si>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</si>
  <si>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</si>
  <si>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</si>
  <si>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</si>
  <si>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</si>
  <si>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</si>
  <si>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</si>
  <si>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</si>
  <si>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</si>
  <si>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</si>
  <si>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</si>
  <si>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</si>
  <si>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</si>
  <si>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</si>
  <si>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</si>
  <si>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</si>
  <si>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</si>
  <si>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</si>
  <si>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</si>
  <si>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</si>
  <si>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</si>
  <si>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</si>
  <si>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</si>
  <si>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</si>
  <si>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</si>
  <si>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</si>
  <si>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</si>
  <si>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</si>
  <si>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</si>
  <si>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</si>
  <si>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</si>
  <si>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</si>
  <si>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</si>
  <si>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</si>
  <si>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</si>
  <si>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</si>
  <si>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</si>
  <si>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</si>
  <si>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</si>
  <si>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</si>
  <si>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</si>
  <si>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</si>
  <si>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</si>
  <si>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</si>
  <si>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</si>
  <si>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</si>
  <si>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</si>
  <si>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</si>
  <si>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</si>
  <si>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</si>
  <si>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</si>
  <si>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</si>
  <si>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</si>
  <si>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</si>
  <si>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</si>
  <si>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</si>
  <si>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</si>
  <si>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</si>
  <si>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</si>
  <si>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</si>
  <si>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</si>
  <si>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</si>
  <si>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</si>
  <si>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</si>
  <si>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</si>
  <si>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</si>
  <si>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</si>
  <si>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</si>
  <si>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</si>
  <si>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</si>
  <si>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</si>
  <si>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</si>
  <si>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</si>
  <si>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</si>
  <si>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</si>
  <si>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</si>
  <si>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</si>
  <si>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</si>
  <si>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</si>
  <si>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</si>
  <si>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</si>
  <si>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</si>
  <si>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</si>
  <si>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</si>
  <si>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</si>
  <si>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</si>
  <si>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</si>
  <si>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</si>
  <si>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</si>
  <si>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</si>
  <si>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</si>
  <si>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</si>
  <si>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</si>
  <si>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</si>
  <si>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</si>
  <si>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</si>
  <si>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</si>
  <si>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</si>
  <si>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</si>
  <si>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</si>
  <si>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</si>
  <si>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</si>
  <si>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</si>
  <si>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</si>
  <si>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</si>
  <si>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</si>
  <si>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</si>
  <si>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</si>
  <si>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</si>
  <si>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</si>
  <si>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</si>
  <si>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</si>
  <si>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</si>
  <si>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</si>
  <si>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</si>
  <si>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</si>
  <si>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</si>
  <si>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</si>
  <si>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</si>
  <si>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</si>
  <si>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</si>
  <si>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</si>
  <si>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</si>
  <si>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</si>
  <si>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</si>
  <si>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</si>
  <si>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</si>
  <si>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</si>
  <si>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</si>
  <si>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</si>
  <si>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</si>
  <si>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</si>
  <si>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</si>
  <si>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</si>
  <si>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</si>
  <si>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</si>
  <si>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</si>
  <si>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</si>
  <si>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</si>
  <si>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</si>
  <si>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</si>
  <si>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</si>
  <si>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</si>
  <si>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</si>
  <si>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</si>
  <si>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</si>
  <si>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</si>
  <si>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</si>
  <si>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</si>
  <si>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</si>
  <si>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</si>
  <si>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</si>
  <si>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</si>
  <si>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</si>
  <si>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</si>
  <si>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</si>
  <si>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</si>
  <si>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</si>
  <si>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</si>
  <si>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</si>
  <si>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</si>
  <si>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</si>
  <si>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</si>
  <si>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</si>
  <si>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</si>
  <si>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</si>
  <si>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</si>
  <si>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</si>
  <si>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</si>
  <si>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</si>
  <si>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</si>
  <si>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</si>
  <si>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</si>
  <si>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</si>
  <si>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</si>
  <si>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</si>
  <si>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</si>
  <si>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</si>
  <si>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</si>
  <si>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</si>
  <si>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</si>
  <si>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</si>
  <si>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</si>
  <si>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</si>
  <si>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</si>
  <si>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</si>
  <si>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</si>
  <si>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</si>
  <si>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</si>
  <si>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</si>
  <si>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</si>
  <si>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</si>
  <si>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</si>
  <si>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</si>
  <si>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</si>
  <si>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</si>
  <si>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</si>
  <si>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</si>
  <si>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</si>
  <si>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</si>
  <si>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</si>
  <si>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</si>
  <si>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</si>
  <si>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</si>
  <si>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</si>
  <si>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</si>
  <si>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</si>
  <si>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</si>
  <si>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</si>
  <si>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</si>
  <si>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</si>
  <si>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</si>
  <si>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</si>
  <si>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</si>
  <si>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</si>
  <si>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</si>
  <si>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</si>
  <si>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</si>
  <si>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</si>
  <si>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</si>
  <si>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</si>
  <si>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</si>
  <si>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</si>
  <si>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</si>
  <si>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</si>
  <si>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</si>
  <si>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</si>
  <si>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</si>
  <si>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</si>
  <si>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</si>
  <si>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</si>
  <si>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</si>
  <si>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</si>
  <si>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</si>
  <si>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</si>
  <si>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</si>
  <si>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</si>
  <si>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</si>
  <si>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</si>
  <si>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</si>
  <si>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</si>
  <si>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</si>
  <si>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</si>
  <si>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</si>
  <si>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</si>
  <si>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</si>
  <si>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</si>
  <si>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</si>
  <si>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</si>
  <si>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</si>
  <si>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</si>
  <si>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</si>
  <si>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</si>
  <si>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</si>
  <si>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</si>
  <si>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</si>
  <si>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</si>
  <si>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</si>
  <si>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</si>
  <si>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</si>
  <si>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</si>
  <si>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</si>
  <si>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</si>
  <si>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</si>
  <si>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</si>
  <si>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</si>
  <si>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</si>
  <si>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</si>
  <si>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</si>
  <si>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</si>
  <si>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</si>
  <si>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</si>
  <si>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</si>
  <si>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</si>
  <si>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</si>
  <si>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</si>
  <si>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</si>
  <si>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</si>
  <si>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</si>
  <si>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</si>
  <si>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</si>
  <si>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</si>
  <si>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</si>
  <si>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</si>
  <si>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</si>
  <si>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</si>
  <si>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</si>
  <si>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</si>
  <si>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</si>
  <si>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</si>
  <si>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</si>
  <si>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</si>
  <si>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</si>
  <si>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</si>
  <si>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</si>
  <si>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</si>
  <si>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</si>
  <si>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</si>
  <si>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</si>
  <si>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</si>
  <si>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</si>
  <si>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</si>
  <si>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</si>
  <si>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</si>
  <si>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</si>
  <si>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</si>
  <si>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</si>
  <si>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</si>
  <si>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</si>
  <si>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</si>
  <si>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</si>
  <si>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</si>
  <si>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</si>
  <si>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</si>
  <si>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</si>
  <si>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</si>
  <si>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</si>
  <si>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</si>
  <si>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</si>
  <si>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</si>
  <si>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</si>
  <si>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</si>
  <si>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</si>
  <si>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</si>
  <si>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</si>
  <si>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</si>
  <si>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</si>
  <si>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</si>
  <si>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</si>
  <si>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</si>
  <si>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</si>
  <si>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</si>
  <si>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</si>
  <si>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</si>
  <si>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</si>
  <si>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</si>
  <si>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</si>
  <si>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</si>
  <si>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</si>
  <si>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</si>
  <si>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</si>
  <si>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</si>
  <si>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</si>
  <si>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</si>
  <si>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</si>
  <si>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</si>
  <si>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</si>
  <si>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</si>
  <si>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</si>
  <si>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</si>
  <si>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</si>
  <si>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</si>
  <si>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</si>
  <si>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</si>
  <si>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</si>
  <si>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</si>
  <si>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</si>
  <si>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</si>
  <si>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</si>
  <si>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</si>
  <si>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</si>
  <si>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</si>
  <si>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</si>
  <si>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</si>
  <si>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</si>
  <si>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</si>
  <si>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</si>
  <si>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</si>
  <si>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</si>
  <si>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</si>
  <si>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</si>
  <si>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</si>
  <si>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</si>
  <si>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</si>
  <si>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</si>
  <si>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</si>
  <si>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</si>
  <si>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</si>
  <si>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</si>
  <si>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</si>
  <si>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</si>
  <si>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</si>
  <si>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</si>
  <si>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</si>
  <si>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</si>
  <si>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</si>
  <si>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</si>
  <si>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</si>
  <si>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</si>
  <si>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</si>
  <si>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</si>
  <si>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</si>
  <si>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</si>
  <si>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</si>
  <si>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</si>
  <si>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</si>
  <si>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</si>
  <si>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</si>
  <si>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</si>
  <si>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</si>
  <si>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</si>
  <si>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</si>
  <si>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</si>
  <si>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</si>
  <si>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</si>
  <si>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</si>
  <si>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</si>
  <si>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</si>
  <si>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</si>
  <si>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</si>
  <si>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</si>
  <si>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</si>
  <si>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</si>
  <si>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</si>
  <si>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</si>
  <si>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</si>
  <si>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</si>
  <si>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</si>
  <si>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</si>
  <si>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</si>
  <si>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</si>
  <si>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</si>
  <si>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</si>
  <si>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</si>
  <si>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</si>
  <si>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</si>
  <si>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</si>
  <si>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</si>
  <si>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</si>
  <si>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</si>
  <si>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</si>
  <si>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</si>
  <si>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</si>
  <si>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</si>
  <si>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</si>
  <si>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</si>
  <si>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</si>
  <si>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</si>
  <si>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</si>
  <si>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</si>
  <si>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</si>
  <si>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</si>
  <si>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</si>
  <si>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</si>
  <si>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</si>
  <si>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</si>
  <si>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</si>
  <si>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</si>
  <si>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</si>
  <si>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</si>
  <si>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</si>
  <si>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</si>
  <si>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</si>
  <si>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</si>
  <si>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</si>
  <si>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</si>
  <si>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</si>
  <si>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</si>
  <si>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</si>
  <si>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</si>
  <si>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</si>
  <si>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</si>
  <si>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</si>
  <si>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</si>
  <si>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</si>
  <si>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</si>
  <si>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</si>
  <si>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</si>
  <si>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</si>
  <si>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</si>
  <si>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</si>
  <si>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</si>
  <si>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</si>
  <si>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</si>
  <si>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</si>
  <si>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</si>
  <si>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</si>
  <si>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</si>
  <si>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</si>
  <si>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</si>
  <si>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</si>
  <si>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</si>
  <si>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</si>
  <si>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</si>
  <si>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</si>
  <si>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</si>
  <si>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</si>
  <si>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</si>
  <si>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</si>
  <si>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</si>
  <si>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</si>
  <si>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</si>
  <si>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</si>
  <si>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</si>
  <si>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</si>
  <si>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</si>
  <si>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</si>
  <si>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</si>
  <si>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</si>
  <si>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</si>
  <si>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</si>
  <si>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</si>
  <si>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</si>
  <si>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</si>
  <si>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</si>
  <si>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</si>
  <si>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</si>
  <si>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</si>
  <si>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</si>
  <si>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</si>
  <si>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</si>
  <si>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</si>
  <si>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</si>
  <si>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</si>
  <si>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</si>
  <si>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</si>
  <si>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</si>
  <si>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</si>
  <si>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</si>
  <si>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</si>
  <si>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</si>
  <si>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</si>
  <si>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</si>
  <si>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</si>
  <si>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</si>
  <si>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</si>
  <si>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</si>
  <si>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</si>
  <si>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</si>
  <si>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</si>
  <si>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</si>
  <si>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</si>
  <si>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</si>
  <si>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</si>
  <si>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</si>
  <si>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</si>
  <si>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</si>
  <si>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</si>
  <si>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</si>
  <si>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</si>
  <si>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</si>
  <si>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</si>
  <si>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</si>
  <si>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</si>
  <si>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</si>
  <si>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</si>
  <si>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</si>
  <si>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</si>
  <si>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</si>
  <si>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</si>
  <si>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</si>
  <si>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</si>
  <si>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</si>
  <si>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</si>
  <si>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</si>
  <si>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</si>
  <si>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</si>
  <si>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</si>
  <si>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</si>
  <si>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</si>
  <si>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</si>
  <si>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</si>
  <si>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</si>
  <si>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</si>
  <si>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</si>
  <si>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</si>
  <si>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</si>
  <si>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</si>
  <si>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</si>
  <si>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</si>
  <si>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</si>
  <si>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</si>
  <si>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</si>
  <si>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</si>
  <si>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</si>
  <si>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</si>
  <si>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</si>
  <si>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</si>
  <si>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</si>
  <si>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</si>
  <si>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</si>
  <si>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</si>
  <si>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</si>
  <si>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</si>
  <si>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</si>
  <si>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</si>
  <si>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</si>
  <si>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</si>
  <si>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</si>
  <si>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</si>
  <si>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</si>
  <si>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</si>
  <si>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</si>
  <si>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</si>
  <si>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</si>
  <si>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</si>
  <si>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</si>
  <si>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</si>
  <si>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</si>
  <si>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</si>
  <si>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</si>
  <si>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</si>
  <si>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</si>
  <si>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</si>
  <si>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</si>
  <si>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</si>
  <si>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</si>
  <si>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</si>
  <si>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</si>
  <si>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</si>
  <si>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</si>
  <si>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</si>
  <si>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</si>
  <si>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</si>
  <si>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</si>
  <si>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</si>
  <si>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</si>
  <si>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</si>
  <si>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</si>
  <si>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</si>
  <si>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</si>
  <si>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b894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</si>
</sst>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49" fontId="250" fillId="41" borderId="13" xfId="34" applyNumberFormat="1" applyFont="1" applyFill="1" applyBorder="1" applyAlignment="1" applyProtection="1">
      <alignment horizontal="center"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5" t="str">
        <f>+OTCHET!B9</f>
        <v>Симеоновград</v>
      </c>
      <c r="C2" s="1726"/>
      <c r="D2" s="1727"/>
      <c r="E2" s="1019"/>
      <c r="F2" s="1020">
        <f>+OTCHET!H9</f>
        <v>0</v>
      </c>
      <c r="G2" s="1021" t="str">
        <f>+OTCHET!F12</f>
        <v>7607</v>
      </c>
      <c r="H2" s="1022"/>
      <c r="I2" s="1728">
        <f>+OTCHET!H607</f>
        <v>0</v>
      </c>
      <c r="J2" s="1729"/>
      <c r="K2" s="1013"/>
      <c r="L2" s="1730">
        <f>OTCHET!H605</f>
        <v>0</v>
      </c>
      <c r="M2" s="1731"/>
      <c r="N2" s="173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733">
        <f>+OTCHET!I9</f>
        <v>0</v>
      </c>
      <c r="U2" s="173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735" t="s">
        <v>996</v>
      </c>
      <c r="T4" s="1735"/>
      <c r="U4" s="173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998</v>
      </c>
      <c r="O6" s="1008"/>
      <c r="P6" s="1045">
        <f>OTCHET!F9</f>
        <v>43555</v>
      </c>
      <c r="Q6" s="1044" t="s">
        <v>998</v>
      </c>
      <c r="R6" s="1046"/>
      <c r="S6" s="1736">
        <f>+Q4</f>
        <v>2019</v>
      </c>
      <c r="T6" s="1736"/>
      <c r="U6" s="173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16" t="s">
        <v>975</v>
      </c>
      <c r="T8" s="1717"/>
      <c r="U8" s="171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719" t="s">
        <v>976</v>
      </c>
      <c r="T9" s="1720"/>
      <c r="U9" s="172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0" t="s">
        <v>1013</v>
      </c>
      <c r="T13" s="1681"/>
      <c r="U13" s="168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1" t="s">
        <v>2036</v>
      </c>
      <c r="T14" s="1672"/>
      <c r="U14" s="167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2" t="s">
        <v>2035</v>
      </c>
      <c r="T15" s="1723"/>
      <c r="U15" s="172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1" t="s">
        <v>1015</v>
      </c>
      <c r="T16" s="1672"/>
      <c r="U16" s="167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1" t="s">
        <v>1017</v>
      </c>
      <c r="T17" s="1672"/>
      <c r="U17" s="167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1" t="s">
        <v>1019</v>
      </c>
      <c r="T18" s="1672"/>
      <c r="U18" s="167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1" t="s">
        <v>1021</v>
      </c>
      <c r="T19" s="1672"/>
      <c r="U19" s="167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1" t="s">
        <v>1023</v>
      </c>
      <c r="T20" s="1672"/>
      <c r="U20" s="167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1" t="s">
        <v>1025</v>
      </c>
      <c r="T21" s="1672"/>
      <c r="U21" s="167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2037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6" t="s">
        <v>1028</v>
      </c>
      <c r="T23" s="1687"/>
      <c r="U23" s="168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0" t="s">
        <v>1031</v>
      </c>
      <c r="T25" s="1681"/>
      <c r="U25" s="168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1" t="s">
        <v>1033</v>
      </c>
      <c r="T26" s="1672"/>
      <c r="U26" s="167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1035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6" t="s">
        <v>1037</v>
      </c>
      <c r="T28" s="1687"/>
      <c r="U28" s="168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6" t="s">
        <v>1044</v>
      </c>
      <c r="T35" s="1687"/>
      <c r="U35" s="168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3" t="s">
        <v>1046</v>
      </c>
      <c r="T36" s="1714"/>
      <c r="U36" s="171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1048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1050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6" t="s">
        <v>1052</v>
      </c>
      <c r="T40" s="1687"/>
      <c r="U40" s="168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0" t="s">
        <v>1055</v>
      </c>
      <c r="T42" s="1681"/>
      <c r="U42" s="168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1" t="s">
        <v>1057</v>
      </c>
      <c r="T43" s="1672"/>
      <c r="U43" s="167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1" t="s">
        <v>1058</v>
      </c>
      <c r="T44" s="1672"/>
      <c r="U44" s="167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1060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6" t="s">
        <v>1062</v>
      </c>
      <c r="T46" s="1687"/>
      <c r="U46" s="168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698" t="s">
        <v>1064</v>
      </c>
      <c r="T48" s="1699"/>
      <c r="U48" s="170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900153</v>
      </c>
      <c r="J51" s="1102">
        <f>+IF(OR($P$2=98,$P$2=42,$P$2=96,$P$2=97),$Q51,0)</f>
        <v>194496</v>
      </c>
      <c r="K51" s="1095"/>
      <c r="L51" s="1102">
        <f>+IF($P$2=33,$Q51,0)</f>
        <v>0</v>
      </c>
      <c r="M51" s="1095"/>
      <c r="N51" s="1132">
        <f>+ROUND(+G51+J51+L51,0)</f>
        <v>194496</v>
      </c>
      <c r="O51" s="1097"/>
      <c r="P51" s="1101">
        <f>+ROUND(OTCHET!E205-SUM(OTCHET!E217:E219)+OTCHET!E271+IF(+OR(OTCHET!$F$12=5500,OTCHET!$F$12=5600),0,+OTCHET!E297),0)</f>
        <v>900153</v>
      </c>
      <c r="Q51" s="1102">
        <f>+ROUND(OTCHET!L205-SUM(OTCHET!L217:L219)+OTCHET!L271+IF(+OR(OTCHET!$F$12=5500,OTCHET!$F$12=5600),0,+OTCHET!L297),0)</f>
        <v>194496</v>
      </c>
      <c r="R51" s="1046"/>
      <c r="S51" s="1680" t="s">
        <v>1068</v>
      </c>
      <c r="T51" s="1681"/>
      <c r="U51" s="168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1" t="s">
        <v>1070</v>
      </c>
      <c r="T52" s="1672"/>
      <c r="U52" s="167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1" t="s">
        <v>1072</v>
      </c>
      <c r="T53" s="1672"/>
      <c r="U53" s="167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64000</v>
      </c>
      <c r="J54" s="1120">
        <f>+IF(OR($P$2=98,$P$2=42,$P$2=96,$P$2=97),$Q54,0)</f>
        <v>44159</v>
      </c>
      <c r="K54" s="1095"/>
      <c r="L54" s="1120">
        <f>+IF($P$2=33,$Q54,0)</f>
        <v>0</v>
      </c>
      <c r="M54" s="1095"/>
      <c r="N54" s="1121">
        <f>+ROUND(+G54+J54+L54,0)</f>
        <v>44159</v>
      </c>
      <c r="O54" s="1097"/>
      <c r="P54" s="1119">
        <f>+ROUND(OTCHET!E187+OTCHET!E190,0)</f>
        <v>64000</v>
      </c>
      <c r="Q54" s="1120">
        <f>+ROUND(OTCHET!L187+OTCHET!L190,0)</f>
        <v>44159</v>
      </c>
      <c r="R54" s="1046"/>
      <c r="S54" s="1671" t="s">
        <v>1074</v>
      </c>
      <c r="T54" s="1672"/>
      <c r="U54" s="167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10174</v>
      </c>
      <c r="J55" s="1120">
        <f>+IF(OR($P$2=98,$P$2=42,$P$2=96,$P$2=97),$Q55,0)</f>
        <v>6421</v>
      </c>
      <c r="K55" s="1095"/>
      <c r="L55" s="1120">
        <f>+IF($P$2=33,$Q55,0)</f>
        <v>0</v>
      </c>
      <c r="M55" s="1095"/>
      <c r="N55" s="1121">
        <f>+ROUND(+G55+J55+L55,0)</f>
        <v>6421</v>
      </c>
      <c r="O55" s="1097"/>
      <c r="P55" s="1119">
        <f>+ROUND(OTCHET!E196+OTCHET!E204,0)</f>
        <v>10174</v>
      </c>
      <c r="Q55" s="1120">
        <f>+ROUND(OTCHET!L196+OTCHET!L204,0)</f>
        <v>6421</v>
      </c>
      <c r="R55" s="1046"/>
      <c r="S55" s="1701" t="s">
        <v>1076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974327</v>
      </c>
      <c r="J56" s="1208">
        <f>+ROUND(+SUM(J51:J55),0)</f>
        <v>245076</v>
      </c>
      <c r="K56" s="1095"/>
      <c r="L56" s="1208">
        <f>+ROUND(+SUM(L51:L55),0)</f>
        <v>0</v>
      </c>
      <c r="M56" s="1095"/>
      <c r="N56" s="1209">
        <f>+ROUND(+SUM(N51:N55),0)</f>
        <v>245076</v>
      </c>
      <c r="O56" s="1097"/>
      <c r="P56" s="1207">
        <f>+ROUND(+SUM(P51:P55),0)</f>
        <v>974327</v>
      </c>
      <c r="Q56" s="1208">
        <f>+ROUND(+SUM(Q51:Q55),0)</f>
        <v>245076</v>
      </c>
      <c r="R56" s="1046"/>
      <c r="S56" s="1686" t="s">
        <v>1078</v>
      </c>
      <c r="T56" s="1687"/>
      <c r="U56" s="168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0" t="s">
        <v>1081</v>
      </c>
      <c r="T58" s="1681"/>
      <c r="U58" s="168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1" t="s">
        <v>1083</v>
      </c>
      <c r="T59" s="1672"/>
      <c r="U59" s="167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1" t="s">
        <v>1085</v>
      </c>
      <c r="T60" s="1672"/>
      <c r="U60" s="167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1087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6" t="s">
        <v>1091</v>
      </c>
      <c r="T63" s="1687"/>
      <c r="U63" s="168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0" t="s">
        <v>1094</v>
      </c>
      <c r="T65" s="1681"/>
      <c r="U65" s="168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1" t="s">
        <v>1096</v>
      </c>
      <c r="T66" s="1672"/>
      <c r="U66" s="167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6" t="s">
        <v>1098</v>
      </c>
      <c r="T67" s="1687"/>
      <c r="U67" s="168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0" t="s">
        <v>1101</v>
      </c>
      <c r="T69" s="1681"/>
      <c r="U69" s="168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1" t="s">
        <v>1103</v>
      </c>
      <c r="T70" s="1672"/>
      <c r="U70" s="167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6" t="s">
        <v>1105</v>
      </c>
      <c r="T71" s="1687"/>
      <c r="U71" s="168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0" t="s">
        <v>1108</v>
      </c>
      <c r="T73" s="1681"/>
      <c r="U73" s="168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1" t="s">
        <v>1110</v>
      </c>
      <c r="T74" s="1672"/>
      <c r="U74" s="167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6" t="s">
        <v>1112</v>
      </c>
      <c r="T75" s="1687"/>
      <c r="U75" s="168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974327</v>
      </c>
      <c r="J77" s="1233">
        <f>+ROUND(J56+J63+J67+J71+J75,0)</f>
        <v>245076</v>
      </c>
      <c r="K77" s="1095"/>
      <c r="L77" s="1233">
        <f>+ROUND(L56+L63+L67+L71+L75,0)</f>
        <v>0</v>
      </c>
      <c r="M77" s="1095"/>
      <c r="N77" s="1234">
        <f>+ROUND(N56+N63+N67+N71+N75,0)</f>
        <v>245076</v>
      </c>
      <c r="O77" s="1097"/>
      <c r="P77" s="1231">
        <f>+ROUND(P56+P63+P67+P71+P75,0)</f>
        <v>974327</v>
      </c>
      <c r="Q77" s="1232">
        <f>+ROUND(Q56+Q63+Q67+Q71+Q75,0)</f>
        <v>245076</v>
      </c>
      <c r="R77" s="1046"/>
      <c r="S77" s="1689" t="s">
        <v>1114</v>
      </c>
      <c r="T77" s="1690"/>
      <c r="U77" s="169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652913</v>
      </c>
      <c r="J79" s="1108">
        <f>+IF(OR($P$2=98,$P$2=42,$P$2=96,$P$2=97),$Q79,0)</f>
        <v>129592</v>
      </c>
      <c r="K79" s="1095"/>
      <c r="L79" s="1108">
        <f>+IF($P$2=33,$Q79,0)</f>
        <v>0</v>
      </c>
      <c r="M79" s="1095"/>
      <c r="N79" s="1109">
        <f>+ROUND(+G79+J79+L79,0)</f>
        <v>129592</v>
      </c>
      <c r="O79" s="1097"/>
      <c r="P79" s="1107">
        <f>+ROUND(OTCHET!E419,0)</f>
        <v>652913</v>
      </c>
      <c r="Q79" s="1108">
        <f>+ROUND(OTCHET!L419,0)</f>
        <v>129592</v>
      </c>
      <c r="R79" s="1046"/>
      <c r="S79" s="1680" t="s">
        <v>1117</v>
      </c>
      <c r="T79" s="1681"/>
      <c r="U79" s="168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-90077</v>
      </c>
      <c r="J80" s="1120">
        <f>+IF(OR($P$2=98,$P$2=42,$P$2=96,$P$2=97),$Q80,0)</f>
        <v>-90077</v>
      </c>
      <c r="K80" s="1095"/>
      <c r="L80" s="1120">
        <f>+IF($P$2=33,$Q80,0)</f>
        <v>0</v>
      </c>
      <c r="M80" s="1095"/>
      <c r="N80" s="1121">
        <f>+ROUND(+G80+J80+L80,0)</f>
        <v>-90077</v>
      </c>
      <c r="O80" s="1097"/>
      <c r="P80" s="1119">
        <f>+ROUND(OTCHET!E429,0)</f>
        <v>-90077</v>
      </c>
      <c r="Q80" s="1120">
        <f>+ROUND(OTCHET!L429,0)</f>
        <v>-90077</v>
      </c>
      <c r="R80" s="1046"/>
      <c r="S80" s="1671" t="s">
        <v>1119</v>
      </c>
      <c r="T80" s="1672"/>
      <c r="U80" s="167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562836</v>
      </c>
      <c r="J81" s="1242">
        <f>+ROUND(J79+J80,0)</f>
        <v>39515</v>
      </c>
      <c r="K81" s="1095"/>
      <c r="L81" s="1242">
        <f>+ROUND(L79+L80,0)</f>
        <v>0</v>
      </c>
      <c r="M81" s="1095"/>
      <c r="N81" s="1243">
        <f>+ROUND(N79+N80,0)</f>
        <v>39515</v>
      </c>
      <c r="O81" s="1097"/>
      <c r="P81" s="1241">
        <f>+ROUND(P79+P80,0)</f>
        <v>562836</v>
      </c>
      <c r="Q81" s="1242">
        <f>+ROUND(Q79+Q80,0)</f>
        <v>39515</v>
      </c>
      <c r="R81" s="1046"/>
      <c r="S81" s="1677" t="s">
        <v>1121</v>
      </c>
      <c r="T81" s="1678"/>
      <c r="U81" s="167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4">
        <f>+IF(+SUM(F82:N82)=0,0,"Контрола: дефицит/излишък = финансиране с обратен знак (Г. + Д. = 0)")</f>
        <v>0</v>
      </c>
      <c r="C82" s="1705"/>
      <c r="D82" s="170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-411491</v>
      </c>
      <c r="J83" s="1255">
        <f>+ROUND(J48,0)-ROUND(J77,0)+ROUND(J81,0)</f>
        <v>-205561</v>
      </c>
      <c r="K83" s="1095"/>
      <c r="L83" s="1255">
        <f>+ROUND(L48,0)-ROUND(L77,0)+ROUND(L81,0)</f>
        <v>0</v>
      </c>
      <c r="M83" s="1095"/>
      <c r="N83" s="1256">
        <f>+ROUND(N48,0)-ROUND(N77,0)+ROUND(N81,0)</f>
        <v>-205561</v>
      </c>
      <c r="O83" s="1257"/>
      <c r="P83" s="1254">
        <f>+ROUND(P48,0)-ROUND(P77,0)+ROUND(P81,0)</f>
        <v>-411491</v>
      </c>
      <c r="Q83" s="1255">
        <f>+ROUND(Q48,0)-ROUND(Q77,0)+ROUND(Q81,0)</f>
        <v>-205561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411491</v>
      </c>
      <c r="J84" s="1263">
        <f>+ROUND(J101,0)+ROUND(J120,0)+ROUND(J127,0)-ROUND(J132,0)</f>
        <v>205561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205561</v>
      </c>
      <c r="O84" s="1257"/>
      <c r="P84" s="1262">
        <f>+ROUND(P101,0)+ROUND(P120,0)+ROUND(P127,0)-ROUND(P132,0)</f>
        <v>411491</v>
      </c>
      <c r="Q84" s="1263">
        <f>+ROUND(Q101,0)+ROUND(Q120,0)+ROUND(Q127,0)-ROUND(Q132,0)</f>
        <v>205561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0" t="s">
        <v>1127</v>
      </c>
      <c r="T87" s="1681"/>
      <c r="U87" s="168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1" t="s">
        <v>1129</v>
      </c>
      <c r="T88" s="1672"/>
      <c r="U88" s="167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6" t="s">
        <v>1131</v>
      </c>
      <c r="T89" s="1687"/>
      <c r="U89" s="168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0" t="s">
        <v>1134</v>
      </c>
      <c r="T91" s="1681"/>
      <c r="U91" s="168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1" t="s">
        <v>1136</v>
      </c>
      <c r="T92" s="1672"/>
      <c r="U92" s="167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1" t="s">
        <v>1138</v>
      </c>
      <c r="T93" s="1672"/>
      <c r="U93" s="167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1140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6" t="s">
        <v>1142</v>
      </c>
      <c r="T95" s="1687"/>
      <c r="U95" s="168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0" t="s">
        <v>1145</v>
      </c>
      <c r="T97" s="1681"/>
      <c r="U97" s="168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1" t="s">
        <v>1147</v>
      </c>
      <c r="T98" s="1672"/>
      <c r="U98" s="167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6" t="s">
        <v>1149</v>
      </c>
      <c r="T99" s="1687"/>
      <c r="U99" s="168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698" t="s">
        <v>1151</v>
      </c>
      <c r="T101" s="1699"/>
      <c r="U101" s="170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0" t="s">
        <v>1155</v>
      </c>
      <c r="T104" s="1681"/>
      <c r="U104" s="168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1" t="s">
        <v>1157</v>
      </c>
      <c r="T105" s="1672"/>
      <c r="U105" s="167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6" t="s">
        <v>1159</v>
      </c>
      <c r="T106" s="1687"/>
      <c r="U106" s="168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2" t="s">
        <v>1162</v>
      </c>
      <c r="T108" s="1693"/>
      <c r="U108" s="169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5" t="s">
        <v>1164</v>
      </c>
      <c r="T109" s="1696"/>
      <c r="U109" s="169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6" t="s">
        <v>1166</v>
      </c>
      <c r="T110" s="1687"/>
      <c r="U110" s="168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0" t="s">
        <v>1169</v>
      </c>
      <c r="T112" s="1681"/>
      <c r="U112" s="168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1" t="s">
        <v>1171</v>
      </c>
      <c r="T113" s="1672"/>
      <c r="U113" s="167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6" t="s">
        <v>1173</v>
      </c>
      <c r="T114" s="1687"/>
      <c r="U114" s="168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0" t="s">
        <v>1176</v>
      </c>
      <c r="T116" s="1681"/>
      <c r="U116" s="168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1" t="s">
        <v>1178</v>
      </c>
      <c r="T117" s="1672"/>
      <c r="U117" s="167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6" t="s">
        <v>1180</v>
      </c>
      <c r="T118" s="1687"/>
      <c r="U118" s="168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89" t="s">
        <v>1182</v>
      </c>
      <c r="T120" s="1690"/>
      <c r="U120" s="169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0" t="s">
        <v>1185</v>
      </c>
      <c r="T122" s="1681"/>
      <c r="U122" s="168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1" t="s">
        <v>1189</v>
      </c>
      <c r="T124" s="1672"/>
      <c r="U124" s="167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4" t="s">
        <v>1191</v>
      </c>
      <c r="T126" s="1675"/>
      <c r="U126" s="167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77" t="s">
        <v>1193</v>
      </c>
      <c r="T127" s="1678"/>
      <c r="U127" s="167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411491</v>
      </c>
      <c r="J129" s="1108">
        <f>+IF(OR($P$2=98,$P$2=42,$P$2=96,$P$2=97),$Q129,0)</f>
        <v>411491</v>
      </c>
      <c r="K129" s="1095"/>
      <c r="L129" s="1108">
        <f>+IF($P$2=33,$Q129,0)</f>
        <v>0</v>
      </c>
      <c r="M129" s="1095"/>
      <c r="N129" s="1109">
        <f>+ROUND(+G129+J129+L129,0)</f>
        <v>411491</v>
      </c>
      <c r="O129" s="1097"/>
      <c r="P129" s="1107">
        <f>+ROUND(+SUM(OTCHET!E567:E572)+SUM(OTCHET!E581:E582)+IF(AND(OTCHET!$F$12=9900,+OTCHET!$E$15=0),0,SUM(OTCHET!E587:E588)),0)</f>
        <v>411491</v>
      </c>
      <c r="Q129" s="1108">
        <f>+ROUND(+SUM(OTCHET!L567:L572)+SUM(OTCHET!L581:L582)+IF(AND(OTCHET!$F$12=9900,+OTCHET!$E$15=0),0,SUM(OTCHET!L587:L588)),0)</f>
        <v>411491</v>
      </c>
      <c r="R129" s="1046"/>
      <c r="S129" s="1680" t="s">
        <v>1196</v>
      </c>
      <c r="T129" s="1681"/>
      <c r="U129" s="168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1" t="s">
        <v>1198</v>
      </c>
      <c r="T130" s="1672"/>
      <c r="U130" s="167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205930</v>
      </c>
      <c r="K131" s="1095"/>
      <c r="L131" s="1120">
        <f>+IF($P$2=33,$Q131,0)</f>
        <v>0</v>
      </c>
      <c r="M131" s="1095"/>
      <c r="N131" s="1121">
        <f>+ROUND(+G131+J131+L131,0)</f>
        <v>205930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205930</v>
      </c>
      <c r="R131" s="1046"/>
      <c r="S131" s="1683" t="s">
        <v>1200</v>
      </c>
      <c r="T131" s="1684"/>
      <c r="U131" s="168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-411491</v>
      </c>
      <c r="J132" s="1295">
        <f>+ROUND(+J131-J129-J130,0)</f>
        <v>-205561</v>
      </c>
      <c r="K132" s="1095"/>
      <c r="L132" s="1295">
        <f>+ROUND(+L131-L129-L130,0)</f>
        <v>0</v>
      </c>
      <c r="M132" s="1095"/>
      <c r="N132" s="1296">
        <f>+ROUND(+N131-N129-N130,0)</f>
        <v>-205561</v>
      </c>
      <c r="O132" s="1097"/>
      <c r="P132" s="1294">
        <f>+ROUND(+P131-P129-P130,0)</f>
        <v>-411491</v>
      </c>
      <c r="Q132" s="1295">
        <f>+ROUND(+Q131-Q129-Q130,0)</f>
        <v>-205561</v>
      </c>
      <c r="R132" s="1046"/>
      <c r="S132" s="1665" t="s">
        <v>1202</v>
      </c>
      <c r="T132" s="1666"/>
      <c r="U132" s="166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68">
        <f>+IF(+SUM(F133:N133)=0,0,"Контрола: дефицит/излишък = финансиране с обратен знак (Г. + Д. = 0)")</f>
        <v>0</v>
      </c>
      <c r="C133" s="1668"/>
      <c r="D133" s="166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669"/>
      <c r="G134" s="1669"/>
      <c r="H134" s="1019"/>
      <c r="I134" s="1304" t="s">
        <v>1205</v>
      </c>
      <c r="J134" s="1305"/>
      <c r="K134" s="1019"/>
      <c r="L134" s="1669"/>
      <c r="M134" s="1669"/>
      <c r="N134" s="1669"/>
      <c r="O134" s="1299"/>
      <c r="P134" s="1670"/>
      <c r="Q134" s="167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970</v>
      </c>
      <c r="F11" s="707">
        <f>OTCHET!F9</f>
        <v>43555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2062</v>
      </c>
      <c r="F17" s="1741" t="s">
        <v>2063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974327</v>
      </c>
      <c r="F38" s="847">
        <f>F39+F43+F44+F46+SUM(F48:F52)+F55</f>
        <v>245076</v>
      </c>
      <c r="G38" s="848">
        <f>G39+G43+G44+G46+SUM(G48:G52)+G55</f>
        <v>39515</v>
      </c>
      <c r="H38" s="849">
        <f>H39+H43+H44+H46+SUM(H48:H52)+H55</f>
        <v>205561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74174</v>
      </c>
      <c r="F39" s="810">
        <f>SUM(F40:F42)</f>
        <v>50580</v>
      </c>
      <c r="G39" s="811">
        <f>SUM(G40:G42)</f>
        <v>39515</v>
      </c>
      <c r="H39" s="812">
        <f>SUM(H40:H42)</f>
        <v>11065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64000</v>
      </c>
      <c r="F41" s="1634">
        <f t="shared" si="1"/>
        <v>44159</v>
      </c>
      <c r="G41" s="1635">
        <f>OTCHET!I190</f>
        <v>33094</v>
      </c>
      <c r="H41" s="1636">
        <f>OTCHET!J190</f>
        <v>11065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10174</v>
      </c>
      <c r="F42" s="1634">
        <f t="shared" si="1"/>
        <v>6421</v>
      </c>
      <c r="G42" s="1635">
        <f>+OTCHET!I196+OTCHET!I204</f>
        <v>6421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900153</v>
      </c>
      <c r="F43" s="815">
        <f t="shared" si="1"/>
        <v>194496</v>
      </c>
      <c r="G43" s="816">
        <f>+OTCHET!I205+OTCHET!I223+OTCHET!I271</f>
        <v>0</v>
      </c>
      <c r="H43" s="817">
        <f>+OTCHET!J205+OTCHET!J223+OTCHET!J271</f>
        <v>194496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562836</v>
      </c>
      <c r="F56" s="892">
        <f>+F57+F58+F62</f>
        <v>39515</v>
      </c>
      <c r="G56" s="893">
        <f>+G57+G58+G62</f>
        <v>39515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562836</v>
      </c>
      <c r="F58" s="901">
        <f t="shared" si="2"/>
        <v>39515</v>
      </c>
      <c r="G58" s="902">
        <f>+OTCHET!I383+OTCHET!I391+OTCHET!I396+OTCHET!I399+OTCHET!I402+OTCHET!I405+OTCHET!I406+OTCHET!I409+OTCHET!I422+OTCHET!I423+OTCHET!I424+OTCHET!I425+OTCHET!I426</f>
        <v>39515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-90077</v>
      </c>
      <c r="F59" s="905">
        <f t="shared" si="2"/>
        <v>-90077</v>
      </c>
      <c r="G59" s="906">
        <f>+OTCHET!I422+OTCHET!I423+OTCHET!I424+OTCHET!I425+OTCHET!I426</f>
        <v>1669</v>
      </c>
      <c r="H59" s="907">
        <f>+OTCHET!J422+OTCHET!J423+OTCHET!J424+OTCHET!J425+OTCHET!J426</f>
        <v>-91746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-411491</v>
      </c>
      <c r="F64" s="927">
        <f>+F22-F38+F56-F63</f>
        <v>-205561</v>
      </c>
      <c r="G64" s="928">
        <f>+G22-G38+G56-G63</f>
        <v>0</v>
      </c>
      <c r="H64" s="929">
        <f>+H22-H38+H56-H63</f>
        <v>-205561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411491</v>
      </c>
      <c r="F66" s="937">
        <f>SUM(+F68+F76+F77+F84+F85+F86+F89+F90+F91+F92+F93+F94+F95)</f>
        <v>205561</v>
      </c>
      <c r="G66" s="938">
        <f>SUM(+G68+G76+G77+G84+G85+G86+G89+G90+G91+G92+G93+G94+G95)</f>
        <v>0</v>
      </c>
      <c r="H66" s="939">
        <f>SUM(+H68+H76+H77+H84+H85+H86+H89+H90+H91+H92+H93+H94+H95)</f>
        <v>205561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411491</v>
      </c>
      <c r="F90" s="901">
        <f t="shared" si="5"/>
        <v>411491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411491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-205930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-205930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>
        <f>+OTCHET!D603</f>
        <v>0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>
        <f>+OTCHET!G600</f>
        <v>0</v>
      </c>
      <c r="F114" s="174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19" t="str">
        <f>VLOOKUP(E15,SMETKA,2,FALSE)</f>
        <v>ОТЧЕТНИ ДАННИ ПО ЕБК ЗА СМЕТКИТЕ ЗА СРЕДСТВАТА ОТ ЕВРОПЕЙСКИЯ СЪЮЗ - КСФ</v>
      </c>
      <c r="C7" s="1820"/>
      <c r="D7" s="182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1" t="s">
        <v>1960</v>
      </c>
      <c r="C9" s="1822"/>
      <c r="D9" s="1823"/>
      <c r="E9" s="115">
        <v>43466</v>
      </c>
      <c r="F9" s="116">
        <v>43555</v>
      </c>
      <c r="G9" s="113"/>
      <c r="H9" s="1415"/>
      <c r="I9" s="1753"/>
      <c r="J9" s="175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755" t="s">
        <v>969</v>
      </c>
      <c r="J10" s="175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6"/>
      <c r="J11" s="1756"/>
      <c r="K11" s="113"/>
      <c r="L11" s="113"/>
      <c r="M11" s="7">
        <v>1</v>
      </c>
      <c r="N11" s="108"/>
    </row>
    <row r="12" spans="2:14" ht="27" customHeight="1">
      <c r="B12" s="1783" t="str">
        <f>VLOOKUP(F12,PRBK,2,FALSE)</f>
        <v>Симеоновград</v>
      </c>
      <c r="C12" s="1784"/>
      <c r="D12" s="1785"/>
      <c r="E12" s="118" t="s">
        <v>963</v>
      </c>
      <c r="F12" s="1586" t="s">
        <v>1626</v>
      </c>
      <c r="G12" s="113"/>
      <c r="H12" s="114"/>
      <c r="I12" s="1756"/>
      <c r="J12" s="175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4" t="s">
        <v>2052</v>
      </c>
      <c r="F19" s="1825"/>
      <c r="G19" s="1825"/>
      <c r="H19" s="1826"/>
      <c r="I19" s="1830" t="s">
        <v>2053</v>
      </c>
      <c r="J19" s="1831"/>
      <c r="K19" s="1831"/>
      <c r="L19" s="183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7" t="s">
        <v>468</v>
      </c>
      <c r="D22" s="181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7" t="s">
        <v>470</v>
      </c>
      <c r="D28" s="181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7" t="s">
        <v>126</v>
      </c>
      <c r="D33" s="181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7" t="s">
        <v>121</v>
      </c>
      <c r="D39" s="181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5" t="str">
        <f>$B$7</f>
        <v>ОТЧЕТНИ ДАННИ ПО ЕБК ЗА СМЕТКИТЕ ЗА СРЕДСТВАТА ОТ ЕВРОПЕЙСКИЯ СЪЮЗ - КСФ</v>
      </c>
      <c r="C174" s="1816"/>
      <c r="D174" s="181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Симеоновград</v>
      </c>
      <c r="C176" s="1781"/>
      <c r="D176" s="1782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3" t="str">
        <f>$B$12</f>
        <v>Симеоновград</v>
      </c>
      <c r="C179" s="1784"/>
      <c r="D179" s="1785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4" t="s">
        <v>2054</v>
      </c>
      <c r="F183" s="1825"/>
      <c r="G183" s="1825"/>
      <c r="H183" s="1826"/>
      <c r="I183" s="1833" t="s">
        <v>2055</v>
      </c>
      <c r="J183" s="1834"/>
      <c r="K183" s="1834"/>
      <c r="L183" s="183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3" t="s">
        <v>744</v>
      </c>
      <c r="D187" s="181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9" t="s">
        <v>747</v>
      </c>
      <c r="D190" s="1810"/>
      <c r="E190" s="273">
        <f aca="true" t="shared" si="44" ref="E190:L190">SUMIF($B$607:$B$12313,$B190,E$607:E$12313)</f>
        <v>64000</v>
      </c>
      <c r="F190" s="274">
        <f t="shared" si="44"/>
        <v>52935</v>
      </c>
      <c r="G190" s="275">
        <f t="shared" si="44"/>
        <v>11065</v>
      </c>
      <c r="H190" s="276">
        <f t="shared" si="44"/>
        <v>0</v>
      </c>
      <c r="I190" s="274">
        <f t="shared" si="44"/>
        <v>33094</v>
      </c>
      <c r="J190" s="275">
        <f t="shared" si="44"/>
        <v>11065</v>
      </c>
      <c r="K190" s="276">
        <f t="shared" si="44"/>
        <v>0</v>
      </c>
      <c r="L190" s="273">
        <f t="shared" si="44"/>
        <v>44159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52935</v>
      </c>
      <c r="F191" s="282">
        <f t="shared" si="45"/>
        <v>52935</v>
      </c>
      <c r="G191" s="283">
        <f t="shared" si="45"/>
        <v>0</v>
      </c>
      <c r="H191" s="284">
        <f t="shared" si="45"/>
        <v>0</v>
      </c>
      <c r="I191" s="282">
        <f t="shared" si="45"/>
        <v>33094</v>
      </c>
      <c r="J191" s="283">
        <f t="shared" si="45"/>
        <v>0</v>
      </c>
      <c r="K191" s="284">
        <f t="shared" si="45"/>
        <v>0</v>
      </c>
      <c r="L191" s="281">
        <f t="shared" si="45"/>
        <v>33094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11065</v>
      </c>
      <c r="F192" s="296">
        <f t="shared" si="45"/>
        <v>0</v>
      </c>
      <c r="G192" s="297">
        <f t="shared" si="45"/>
        <v>11065</v>
      </c>
      <c r="H192" s="298">
        <f t="shared" si="45"/>
        <v>0</v>
      </c>
      <c r="I192" s="296">
        <f t="shared" si="45"/>
        <v>0</v>
      </c>
      <c r="J192" s="297">
        <f t="shared" si="45"/>
        <v>11065</v>
      </c>
      <c r="K192" s="298">
        <f t="shared" si="45"/>
        <v>0</v>
      </c>
      <c r="L192" s="295">
        <f t="shared" si="45"/>
        <v>11065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1" t="s">
        <v>194</v>
      </c>
      <c r="D196" s="1812"/>
      <c r="E196" s="273">
        <f aca="true" t="shared" si="46" ref="E196:L196">SUMIF($B$607:$B$12313,$B196,E$607:E$12313)</f>
        <v>10174</v>
      </c>
      <c r="F196" s="274">
        <f t="shared" si="46"/>
        <v>10174</v>
      </c>
      <c r="G196" s="275">
        <f t="shared" si="46"/>
        <v>0</v>
      </c>
      <c r="H196" s="276">
        <f t="shared" si="46"/>
        <v>0</v>
      </c>
      <c r="I196" s="274">
        <f t="shared" si="46"/>
        <v>6421</v>
      </c>
      <c r="J196" s="275">
        <f t="shared" si="46"/>
        <v>0</v>
      </c>
      <c r="K196" s="276">
        <f t="shared" si="46"/>
        <v>0</v>
      </c>
      <c r="L196" s="273">
        <f t="shared" si="46"/>
        <v>6421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6223</v>
      </c>
      <c r="F197" s="282">
        <f t="shared" si="47"/>
        <v>6223</v>
      </c>
      <c r="G197" s="283">
        <f t="shared" si="47"/>
        <v>0</v>
      </c>
      <c r="H197" s="284">
        <f t="shared" si="47"/>
        <v>0</v>
      </c>
      <c r="I197" s="282">
        <f t="shared" si="47"/>
        <v>3894</v>
      </c>
      <c r="J197" s="283">
        <f t="shared" si="47"/>
        <v>0</v>
      </c>
      <c r="K197" s="284">
        <f t="shared" si="47"/>
        <v>0</v>
      </c>
      <c r="L197" s="281">
        <f t="shared" si="47"/>
        <v>3894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2542</v>
      </c>
      <c r="F200" s="296">
        <f t="shared" si="47"/>
        <v>2542</v>
      </c>
      <c r="G200" s="297">
        <f t="shared" si="47"/>
        <v>0</v>
      </c>
      <c r="H200" s="298">
        <f t="shared" si="47"/>
        <v>0</v>
      </c>
      <c r="I200" s="296">
        <f t="shared" si="47"/>
        <v>1646</v>
      </c>
      <c r="J200" s="297">
        <f t="shared" si="47"/>
        <v>0</v>
      </c>
      <c r="K200" s="298">
        <f t="shared" si="47"/>
        <v>0</v>
      </c>
      <c r="L200" s="295">
        <f t="shared" si="47"/>
        <v>1646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1409</v>
      </c>
      <c r="F201" s="296">
        <f t="shared" si="47"/>
        <v>1409</v>
      </c>
      <c r="G201" s="297">
        <f t="shared" si="47"/>
        <v>0</v>
      </c>
      <c r="H201" s="298">
        <f t="shared" si="47"/>
        <v>0</v>
      </c>
      <c r="I201" s="296">
        <f t="shared" si="47"/>
        <v>881</v>
      </c>
      <c r="J201" s="297">
        <f t="shared" si="47"/>
        <v>0</v>
      </c>
      <c r="K201" s="298">
        <f t="shared" si="47"/>
        <v>0</v>
      </c>
      <c r="L201" s="295">
        <f t="shared" si="47"/>
        <v>881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7" t="s">
        <v>199</v>
      </c>
      <c r="D204" s="180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9" t="s">
        <v>200</v>
      </c>
      <c r="D205" s="1810"/>
      <c r="E205" s="310">
        <f t="shared" si="48"/>
        <v>900153</v>
      </c>
      <c r="F205" s="274">
        <f t="shared" si="48"/>
        <v>0</v>
      </c>
      <c r="G205" s="275">
        <f t="shared" si="48"/>
        <v>900153</v>
      </c>
      <c r="H205" s="276">
        <f t="shared" si="48"/>
        <v>0</v>
      </c>
      <c r="I205" s="274">
        <f t="shared" si="48"/>
        <v>0</v>
      </c>
      <c r="J205" s="275">
        <f t="shared" si="48"/>
        <v>194496</v>
      </c>
      <c r="K205" s="276">
        <f t="shared" si="48"/>
        <v>0</v>
      </c>
      <c r="L205" s="310">
        <f t="shared" si="48"/>
        <v>194496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828380</v>
      </c>
      <c r="F206" s="282">
        <f t="shared" si="49"/>
        <v>0</v>
      </c>
      <c r="G206" s="283">
        <f t="shared" si="49"/>
        <v>828380</v>
      </c>
      <c r="H206" s="284">
        <f t="shared" si="49"/>
        <v>0</v>
      </c>
      <c r="I206" s="282">
        <f t="shared" si="49"/>
        <v>0</v>
      </c>
      <c r="J206" s="283">
        <f t="shared" si="49"/>
        <v>186874</v>
      </c>
      <c r="K206" s="284">
        <f t="shared" si="49"/>
        <v>0</v>
      </c>
      <c r="L206" s="281">
        <f t="shared" si="49"/>
        <v>186874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147</v>
      </c>
      <c r="F210" s="296">
        <f t="shared" si="49"/>
        <v>0</v>
      </c>
      <c r="G210" s="297">
        <f t="shared" si="49"/>
        <v>147</v>
      </c>
      <c r="H210" s="298">
        <f t="shared" si="49"/>
        <v>0</v>
      </c>
      <c r="I210" s="296">
        <f t="shared" si="49"/>
        <v>0</v>
      </c>
      <c r="J210" s="297">
        <f t="shared" si="49"/>
        <v>147</v>
      </c>
      <c r="K210" s="298">
        <f t="shared" si="49"/>
        <v>0</v>
      </c>
      <c r="L210" s="295">
        <f t="shared" si="49"/>
        <v>147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7475</v>
      </c>
      <c r="F212" s="321">
        <f t="shared" si="49"/>
        <v>0</v>
      </c>
      <c r="G212" s="322">
        <f t="shared" si="49"/>
        <v>7475</v>
      </c>
      <c r="H212" s="323">
        <f t="shared" si="49"/>
        <v>0</v>
      </c>
      <c r="I212" s="321">
        <f t="shared" si="49"/>
        <v>0</v>
      </c>
      <c r="J212" s="322">
        <f t="shared" si="49"/>
        <v>7475</v>
      </c>
      <c r="K212" s="323">
        <f t="shared" si="49"/>
        <v>0</v>
      </c>
      <c r="L212" s="320">
        <f t="shared" si="49"/>
        <v>7475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64151</v>
      </c>
      <c r="F222" s="288">
        <f t="shared" si="50"/>
        <v>0</v>
      </c>
      <c r="G222" s="289">
        <f t="shared" si="50"/>
        <v>64151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803" t="s">
        <v>272</v>
      </c>
      <c r="D223" s="180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3" t="s">
        <v>722</v>
      </c>
      <c r="D227" s="180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3" t="s">
        <v>219</v>
      </c>
      <c r="D233" s="180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3" t="s">
        <v>221</v>
      </c>
      <c r="D236" s="180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5" t="s">
        <v>222</v>
      </c>
      <c r="D237" s="180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5" t="s">
        <v>223</v>
      </c>
      <c r="D238" s="180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5" t="s">
        <v>1658</v>
      </c>
      <c r="D239" s="180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3" t="s">
        <v>224</v>
      </c>
      <c r="D240" s="180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3" t="s">
        <v>234</v>
      </c>
      <c r="D255" s="180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3" t="s">
        <v>235</v>
      </c>
      <c r="D256" s="180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3" t="s">
        <v>236</v>
      </c>
      <c r="D257" s="180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3" t="s">
        <v>237</v>
      </c>
      <c r="D258" s="180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3" t="s">
        <v>1663</v>
      </c>
      <c r="D265" s="180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3" t="s">
        <v>1660</v>
      </c>
      <c r="D269" s="180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3" t="s">
        <v>1661</v>
      </c>
      <c r="D270" s="180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5" t="s">
        <v>247</v>
      </c>
      <c r="D271" s="180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3" t="s">
        <v>273</v>
      </c>
      <c r="D272" s="180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1" t="s">
        <v>248</v>
      </c>
      <c r="D275" s="180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1" t="s">
        <v>249</v>
      </c>
      <c r="D276" s="180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1" t="s">
        <v>625</v>
      </c>
      <c r="D284" s="180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1" t="s">
        <v>685</v>
      </c>
      <c r="D287" s="180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3" t="s">
        <v>686</v>
      </c>
      <c r="D288" s="180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915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694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974327</v>
      </c>
      <c r="F301" s="396">
        <f t="shared" si="77"/>
        <v>63109</v>
      </c>
      <c r="G301" s="397">
        <f t="shared" si="77"/>
        <v>911218</v>
      </c>
      <c r="H301" s="398">
        <f t="shared" si="77"/>
        <v>0</v>
      </c>
      <c r="I301" s="396">
        <f t="shared" si="77"/>
        <v>39515</v>
      </c>
      <c r="J301" s="397">
        <f t="shared" si="77"/>
        <v>205561</v>
      </c>
      <c r="K301" s="398">
        <f t="shared" si="77"/>
        <v>0</v>
      </c>
      <c r="L301" s="395">
        <f t="shared" si="77"/>
        <v>245076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791"/>
      <c r="D306" s="179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0"/>
      <c r="C308" s="1791"/>
      <c r="D308" s="179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0"/>
      <c r="C311" s="1791"/>
      <c r="D311" s="179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2"/>
      <c r="C344" s="1792"/>
      <c r="D344" s="179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5" t="str">
        <f>$B$7</f>
        <v>ОТЧЕТНИ ДАННИ ПО ЕБК ЗА СМЕТКИТЕ ЗА СРЕДСТВАТА ОТ ЕВРОПЕЙСКИЯ СЪЮЗ - КСФ</v>
      </c>
      <c r="C348" s="1795"/>
      <c r="D348" s="179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Симеоновград</v>
      </c>
      <c r="C350" s="1781"/>
      <c r="D350" s="1782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3" t="str">
        <f>$B$12</f>
        <v>Симеоновград</v>
      </c>
      <c r="C353" s="1784"/>
      <c r="D353" s="1785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36" t="s">
        <v>2056</v>
      </c>
      <c r="F357" s="1837"/>
      <c r="G357" s="1837"/>
      <c r="H357" s="1838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3" t="s">
        <v>276</v>
      </c>
      <c r="D361" s="179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7" t="s">
        <v>287</v>
      </c>
      <c r="D375" s="175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7" t="s">
        <v>309</v>
      </c>
      <c r="D383" s="175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7" t="s">
        <v>253</v>
      </c>
      <c r="D388" s="175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7" t="s">
        <v>254</v>
      </c>
      <c r="D391" s="1758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7" t="s">
        <v>256</v>
      </c>
      <c r="D396" s="1758"/>
      <c r="E396" s="1378">
        <f aca="true" t="shared" si="88" ref="E396:L396">SUM(E397:E398)</f>
        <v>396</v>
      </c>
      <c r="F396" s="459">
        <f t="shared" si="88"/>
        <v>464</v>
      </c>
      <c r="G396" s="473">
        <f t="shared" si="88"/>
        <v>-68</v>
      </c>
      <c r="H396" s="445">
        <f>SUM(H397:H398)</f>
        <v>0</v>
      </c>
      <c r="I396" s="459">
        <f t="shared" si="88"/>
        <v>464</v>
      </c>
      <c r="J396" s="444">
        <f t="shared" si="88"/>
        <v>-68</v>
      </c>
      <c r="K396" s="445">
        <f>SUM(K397:K398)</f>
        <v>0</v>
      </c>
      <c r="L396" s="1378">
        <f t="shared" si="88"/>
        <v>396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464</v>
      </c>
      <c r="F397" s="152">
        <v>464</v>
      </c>
      <c r="G397" s="153"/>
      <c r="H397" s="154">
        <v>0</v>
      </c>
      <c r="I397" s="152">
        <v>464</v>
      </c>
      <c r="J397" s="153"/>
      <c r="K397" s="154">
        <v>0</v>
      </c>
      <c r="L397" s="1379">
        <f>I397+J397+K397</f>
        <v>464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-68</v>
      </c>
      <c r="F398" s="173"/>
      <c r="G398" s="174">
        <v>-68</v>
      </c>
      <c r="H398" s="175">
        <v>0</v>
      </c>
      <c r="I398" s="173"/>
      <c r="J398" s="174">
        <v>-68</v>
      </c>
      <c r="K398" s="175">
        <v>0</v>
      </c>
      <c r="L398" s="1383">
        <f>I398+J398+K398</f>
        <v>-68</v>
      </c>
      <c r="M398" s="7">
        <f t="shared" si="80"/>
        <v>1</v>
      </c>
      <c r="N398" s="408"/>
    </row>
    <row r="399" spans="1:14" s="15" customFormat="1" ht="18.75" customHeight="1">
      <c r="A399" s="22">
        <v>200</v>
      </c>
      <c r="B399" s="458">
        <v>6300</v>
      </c>
      <c r="C399" s="1757" t="s">
        <v>257</v>
      </c>
      <c r="D399" s="1758"/>
      <c r="E399" s="1378">
        <f aca="true" t="shared" si="89" ref="E399:L399">SUM(E400:E401)</f>
        <v>652517</v>
      </c>
      <c r="F399" s="459">
        <f t="shared" si="89"/>
        <v>60976</v>
      </c>
      <c r="G399" s="473">
        <f t="shared" si="89"/>
        <v>591541</v>
      </c>
      <c r="H399" s="445">
        <f>SUM(H400:H401)</f>
        <v>0</v>
      </c>
      <c r="I399" s="459">
        <f t="shared" si="89"/>
        <v>37382</v>
      </c>
      <c r="J399" s="444">
        <f t="shared" si="89"/>
        <v>91814</v>
      </c>
      <c r="K399" s="445">
        <f>SUM(K400:K401)</f>
        <v>0</v>
      </c>
      <c r="L399" s="1378">
        <f t="shared" si="89"/>
        <v>129196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652517</v>
      </c>
      <c r="F400" s="158">
        <v>60976</v>
      </c>
      <c r="G400" s="159">
        <v>591541</v>
      </c>
      <c r="H400" s="154">
        <v>0</v>
      </c>
      <c r="I400" s="158">
        <v>37382</v>
      </c>
      <c r="J400" s="159">
        <v>91814</v>
      </c>
      <c r="K400" s="154">
        <v>0</v>
      </c>
      <c r="L400" s="1379">
        <f>I400+J400+K400</f>
        <v>129196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7" t="s">
        <v>922</v>
      </c>
      <c r="D402" s="175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7" t="s">
        <v>680</v>
      </c>
      <c r="D405" s="175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7" t="s">
        <v>681</v>
      </c>
      <c r="D406" s="175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7" t="s">
        <v>699</v>
      </c>
      <c r="D409" s="175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7" t="s">
        <v>260</v>
      </c>
      <c r="D412" s="175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652913</v>
      </c>
      <c r="F419" s="495">
        <f t="shared" si="95"/>
        <v>61440</v>
      </c>
      <c r="G419" s="496">
        <f t="shared" si="95"/>
        <v>591473</v>
      </c>
      <c r="H419" s="515">
        <f>SUM(H361,H375,H383,H388,H391,H396,H399,H402,H405,H406,H409,H412)</f>
        <v>0</v>
      </c>
      <c r="I419" s="495">
        <f t="shared" si="95"/>
        <v>37846</v>
      </c>
      <c r="J419" s="496">
        <f t="shared" si="95"/>
        <v>91746</v>
      </c>
      <c r="K419" s="515">
        <f>SUM(K361,K375,K383,K388,K391,K396,K399,K402,K405,K406,K409,K412)</f>
        <v>0</v>
      </c>
      <c r="L419" s="512">
        <f t="shared" si="95"/>
        <v>129592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7" t="s">
        <v>767</v>
      </c>
      <c r="D422" s="1758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7" t="s">
        <v>704</v>
      </c>
      <c r="D423" s="1758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7" t="s">
        <v>261</v>
      </c>
      <c r="D424" s="1758"/>
      <c r="E424" s="1378">
        <f>F424+G424+H424</f>
        <v>-90077</v>
      </c>
      <c r="F424" s="483">
        <v>1669</v>
      </c>
      <c r="G424" s="484">
        <v>-91746</v>
      </c>
      <c r="H424" s="1475">
        <v>0</v>
      </c>
      <c r="I424" s="483">
        <v>1669</v>
      </c>
      <c r="J424" s="484">
        <v>-91746</v>
      </c>
      <c r="K424" s="1475">
        <v>0</v>
      </c>
      <c r="L424" s="1378">
        <f>I424+J424+K424</f>
        <v>-90077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7" t="s">
        <v>683</v>
      </c>
      <c r="D425" s="1758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7" t="s">
        <v>926</v>
      </c>
      <c r="D426" s="175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-90077</v>
      </c>
      <c r="F429" s="513">
        <f t="shared" si="97"/>
        <v>1669</v>
      </c>
      <c r="G429" s="514">
        <f t="shared" si="97"/>
        <v>-91746</v>
      </c>
      <c r="H429" s="515">
        <f>SUM(H422,H423,H424,H425,H426)</f>
        <v>0</v>
      </c>
      <c r="I429" s="513">
        <f t="shared" si="97"/>
        <v>1669</v>
      </c>
      <c r="J429" s="514">
        <f t="shared" si="97"/>
        <v>-91746</v>
      </c>
      <c r="K429" s="515">
        <f t="shared" si="97"/>
        <v>0</v>
      </c>
      <c r="L429" s="512">
        <f t="shared" si="97"/>
        <v>-90077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6" t="str">
        <f>$B$7</f>
        <v>ОТЧЕТНИ ДАННИ ПО ЕБК ЗА СМЕТКИТЕ ЗА СРЕДСТВАТА ОТ ЕВРОПЕЙСКИЯ СЪЮЗ - КСФ</v>
      </c>
      <c r="C433" s="1787"/>
      <c r="D433" s="178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Симеоновград</v>
      </c>
      <c r="C435" s="1781"/>
      <c r="D435" s="1782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3" t="str">
        <f>$B$12</f>
        <v>Симеоновград</v>
      </c>
      <c r="C438" s="1784"/>
      <c r="D438" s="1785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4" t="s">
        <v>2058</v>
      </c>
      <c r="F442" s="1825"/>
      <c r="G442" s="1825"/>
      <c r="H442" s="1826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-411491</v>
      </c>
      <c r="F445" s="546">
        <f t="shared" si="99"/>
        <v>0</v>
      </c>
      <c r="G445" s="547">
        <f t="shared" si="99"/>
        <v>-411491</v>
      </c>
      <c r="H445" s="548">
        <f t="shared" si="99"/>
        <v>0</v>
      </c>
      <c r="I445" s="546">
        <f t="shared" si="99"/>
        <v>0</v>
      </c>
      <c r="J445" s="547">
        <f t="shared" si="99"/>
        <v>-205561</v>
      </c>
      <c r="K445" s="548">
        <f t="shared" si="99"/>
        <v>0</v>
      </c>
      <c r="L445" s="549">
        <f t="shared" si="99"/>
        <v>-205561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411491</v>
      </c>
      <c r="F446" s="553">
        <f t="shared" si="100"/>
        <v>0</v>
      </c>
      <c r="G446" s="554">
        <f t="shared" si="100"/>
        <v>411491</v>
      </c>
      <c r="H446" s="555">
        <f t="shared" si="100"/>
        <v>0</v>
      </c>
      <c r="I446" s="553">
        <f t="shared" si="100"/>
        <v>0</v>
      </c>
      <c r="J446" s="554">
        <f t="shared" si="100"/>
        <v>205561</v>
      </c>
      <c r="K446" s="555">
        <f t="shared" si="100"/>
        <v>0</v>
      </c>
      <c r="L446" s="556">
        <f>+L597</f>
        <v>205561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8" t="str">
        <f>$B$7</f>
        <v>ОТЧЕТНИ ДАННИ ПО ЕБК ЗА СМЕТКИТЕ ЗА СРЕДСТВАТА ОТ ЕВРОПЕЙСКИЯ СЪЮЗ - КСФ</v>
      </c>
      <c r="C449" s="1789"/>
      <c r="D449" s="178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Симеоновград</v>
      </c>
      <c r="C451" s="1781"/>
      <c r="D451" s="1782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3" t="str">
        <f>$B$12</f>
        <v>Симеоновград</v>
      </c>
      <c r="C454" s="1784"/>
      <c r="D454" s="1785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27" t="s">
        <v>2060</v>
      </c>
      <c r="F458" s="1828"/>
      <c r="G458" s="1828"/>
      <c r="H458" s="1829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2" t="s">
        <v>768</v>
      </c>
      <c r="D461" s="177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7" t="s">
        <v>771</v>
      </c>
      <c r="D465" s="176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7" t="s">
        <v>1998</v>
      </c>
      <c r="D468" s="176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2" t="s">
        <v>774</v>
      </c>
      <c r="D471" s="177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68" t="s">
        <v>781</v>
      </c>
      <c r="D478" s="176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0" t="s">
        <v>930</v>
      </c>
      <c r="D481" s="177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5" t="s">
        <v>935</v>
      </c>
      <c r="D497" s="177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5" t="s">
        <v>24</v>
      </c>
      <c r="D502" s="177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4" t="s">
        <v>936</v>
      </c>
      <c r="D503" s="177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0" t="s">
        <v>33</v>
      </c>
      <c r="D512" s="177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0" t="s">
        <v>37</v>
      </c>
      <c r="D516" s="177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0" t="s">
        <v>937</v>
      </c>
      <c r="D521" s="177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5" t="s">
        <v>938</v>
      </c>
      <c r="D524" s="176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78" t="s">
        <v>313</v>
      </c>
      <c r="D531" s="177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0" t="s">
        <v>940</v>
      </c>
      <c r="D535" s="177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5" t="s">
        <v>941</v>
      </c>
      <c r="D536" s="177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7" t="s">
        <v>942</v>
      </c>
      <c r="D541" s="176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0" t="s">
        <v>943</v>
      </c>
      <c r="D544" s="177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7" t="s">
        <v>952</v>
      </c>
      <c r="D566" s="1777"/>
      <c r="E566" s="578">
        <f aca="true" t="shared" si="128" ref="E566:L566">SUM(E567:E585)</f>
        <v>411491</v>
      </c>
      <c r="F566" s="587">
        <f t="shared" si="128"/>
        <v>0</v>
      </c>
      <c r="G566" s="580">
        <f t="shared" si="128"/>
        <v>411491</v>
      </c>
      <c r="H566" s="581">
        <f>SUM(H567:H585)</f>
        <v>0</v>
      </c>
      <c r="I566" s="587">
        <f t="shared" si="128"/>
        <v>0</v>
      </c>
      <c r="J566" s="580">
        <f t="shared" si="128"/>
        <v>205561</v>
      </c>
      <c r="K566" s="581">
        <f t="shared" si="128"/>
        <v>0</v>
      </c>
      <c r="L566" s="578">
        <f t="shared" si="128"/>
        <v>205561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411491</v>
      </c>
      <c r="F567" s="152"/>
      <c r="G567" s="153">
        <v>411491</v>
      </c>
      <c r="H567" s="584">
        <v>0</v>
      </c>
      <c r="I567" s="152"/>
      <c r="J567" s="153">
        <v>411491</v>
      </c>
      <c r="K567" s="584">
        <v>0</v>
      </c>
      <c r="L567" s="1379">
        <f t="shared" si="116"/>
        <v>411491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>
        <v>-205930</v>
      </c>
      <c r="K573" s="1623">
        <v>0</v>
      </c>
      <c r="L573" s="1393">
        <f t="shared" si="129"/>
        <v>-205930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7" t="s">
        <v>957</v>
      </c>
      <c r="D586" s="176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7" t="s">
        <v>833</v>
      </c>
      <c r="D591" s="176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411491</v>
      </c>
      <c r="F597" s="663">
        <f t="shared" si="133"/>
        <v>0</v>
      </c>
      <c r="G597" s="664">
        <f t="shared" si="133"/>
        <v>411491</v>
      </c>
      <c r="H597" s="665">
        <f t="shared" si="133"/>
        <v>0</v>
      </c>
      <c r="I597" s="663">
        <f t="shared" si="133"/>
        <v>0</v>
      </c>
      <c r="J597" s="664">
        <f t="shared" si="133"/>
        <v>205561</v>
      </c>
      <c r="K597" s="666">
        <f t="shared" si="133"/>
        <v>0</v>
      </c>
      <c r="L597" s="662">
        <f t="shared" si="133"/>
        <v>205561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59"/>
      <c r="H600" s="1760"/>
      <c r="I600" s="1760"/>
      <c r="J600" s="176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7" t="s">
        <v>877</v>
      </c>
      <c r="H601" s="1747"/>
      <c r="I601" s="1747"/>
      <c r="J601" s="174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2"/>
      <c r="H603" s="1763"/>
      <c r="I603" s="1763"/>
      <c r="J603" s="1764"/>
      <c r="K603" s="103"/>
      <c r="L603" s="228"/>
      <c r="M603" s="7">
        <v>1</v>
      </c>
      <c r="N603" s="518"/>
    </row>
    <row r="604" spans="1:14" ht="21.75" customHeight="1">
      <c r="A604" s="23"/>
      <c r="B604" s="1745" t="s">
        <v>880</v>
      </c>
      <c r="C604" s="1746"/>
      <c r="D604" s="672" t="s">
        <v>881</v>
      </c>
      <c r="E604" s="673"/>
      <c r="F604" s="674"/>
      <c r="G604" s="1747" t="s">
        <v>877</v>
      </c>
      <c r="H604" s="1747"/>
      <c r="I604" s="1747"/>
      <c r="J604" s="1747"/>
      <c r="K604" s="103"/>
      <c r="L604" s="228"/>
      <c r="M604" s="7">
        <v>1</v>
      </c>
      <c r="N604" s="518"/>
    </row>
    <row r="605" spans="1:14" ht="24.75" customHeight="1">
      <c r="A605" s="36"/>
      <c r="B605" s="1748"/>
      <c r="C605" s="1749"/>
      <c r="D605" s="675" t="s">
        <v>882</v>
      </c>
      <c r="E605" s="676"/>
      <c r="F605" s="677"/>
      <c r="G605" s="678" t="s">
        <v>883</v>
      </c>
      <c r="H605" s="1750"/>
      <c r="I605" s="1751"/>
      <c r="J605" s="175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0"/>
      <c r="I607" s="1751"/>
      <c r="J607" s="175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88" t="str">
        <f>$B$7</f>
        <v>ОТЧЕТНИ ДАННИ ПО ЕБК ЗА СМЕТКИТЕ ЗА СРЕДСТВАТА ОТ ЕВРОПЕЙСКИЯ СЪЮЗ - КСФ</v>
      </c>
      <c r="C621" s="1789"/>
      <c r="D621" s="178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0" t="str">
        <f>$B$9</f>
        <v>Симеоновград</v>
      </c>
      <c r="C623" s="1781"/>
      <c r="D623" s="1782"/>
      <c r="E623" s="115">
        <f>$E$9</f>
        <v>43466</v>
      </c>
      <c r="F623" s="226">
        <f>$F$9</f>
        <v>43555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39" t="str">
        <f>$B$12</f>
        <v>Симеоновград</v>
      </c>
      <c r="C626" s="1840"/>
      <c r="D626" s="1841"/>
      <c r="E626" s="410" t="s">
        <v>890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824" t="s">
        <v>2049</v>
      </c>
      <c r="F630" s="1825"/>
      <c r="G630" s="1825"/>
      <c r="H630" s="1826"/>
      <c r="I630" s="1833" t="s">
        <v>2050</v>
      </c>
      <c r="J630" s="1834"/>
      <c r="K630" s="1834"/>
      <c r="L630" s="1835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664">
        <f>VLOOKUP(D633,OP_LIST2,2,FALSE)</f>
        <v>98315</v>
      </c>
      <c r="D633" s="1452" t="s">
        <v>1239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5524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5524</v>
      </c>
      <c r="D635" s="1452" t="s">
        <v>556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813" t="s">
        <v>744</v>
      </c>
      <c r="D637" s="1814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09" t="s">
        <v>747</v>
      </c>
      <c r="D640" s="1810"/>
      <c r="E640" s="273">
        <f aca="true" t="shared" si="136" ref="E640:L640">SUM(E641:E645)</f>
        <v>11065</v>
      </c>
      <c r="F640" s="274">
        <f t="shared" si="136"/>
        <v>0</v>
      </c>
      <c r="G640" s="275">
        <f t="shared" si="136"/>
        <v>11065</v>
      </c>
      <c r="H640" s="276">
        <f t="shared" si="136"/>
        <v>0</v>
      </c>
      <c r="I640" s="274">
        <f t="shared" si="136"/>
        <v>0</v>
      </c>
      <c r="J640" s="275">
        <f t="shared" si="136"/>
        <v>11065</v>
      </c>
      <c r="K640" s="276">
        <f t="shared" si="136"/>
        <v>0</v>
      </c>
      <c r="L640" s="273">
        <f t="shared" si="136"/>
        <v>11065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11065</v>
      </c>
      <c r="F642" s="158"/>
      <c r="G642" s="159">
        <v>11065</v>
      </c>
      <c r="H642" s="1420"/>
      <c r="I642" s="158"/>
      <c r="J642" s="159">
        <v>11065</v>
      </c>
      <c r="K642" s="1420"/>
      <c r="L642" s="295">
        <f>I642+J642+K642</f>
        <v>11065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811" t="s">
        <v>194</v>
      </c>
      <c r="D646" s="1812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910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07" t="s">
        <v>199</v>
      </c>
      <c r="D654" s="180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09" t="s">
        <v>200</v>
      </c>
      <c r="D655" s="1810"/>
      <c r="E655" s="310">
        <f aca="true" t="shared" si="140" ref="E655:L655">SUM(E656:E672)</f>
        <v>900153</v>
      </c>
      <c r="F655" s="274">
        <f t="shared" si="140"/>
        <v>0</v>
      </c>
      <c r="G655" s="275">
        <f t="shared" si="140"/>
        <v>900153</v>
      </c>
      <c r="H655" s="276">
        <f t="shared" si="140"/>
        <v>0</v>
      </c>
      <c r="I655" s="274">
        <f t="shared" si="140"/>
        <v>0</v>
      </c>
      <c r="J655" s="275">
        <f t="shared" si="140"/>
        <v>194496</v>
      </c>
      <c r="K655" s="276">
        <f t="shared" si="140"/>
        <v>0</v>
      </c>
      <c r="L655" s="310">
        <f t="shared" si="140"/>
        <v>194496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828380</v>
      </c>
      <c r="F656" s="152"/>
      <c r="G656" s="153">
        <v>828380</v>
      </c>
      <c r="H656" s="1418"/>
      <c r="I656" s="152"/>
      <c r="J656" s="153">
        <v>186874</v>
      </c>
      <c r="K656" s="1418"/>
      <c r="L656" s="281">
        <f aca="true" t="shared" si="142" ref="L656:L672">I656+J656+K656</f>
        <v>186874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147</v>
      </c>
      <c r="F660" s="158"/>
      <c r="G660" s="159">
        <v>147</v>
      </c>
      <c r="H660" s="1420"/>
      <c r="I660" s="158"/>
      <c r="J660" s="159">
        <v>147</v>
      </c>
      <c r="K660" s="1420"/>
      <c r="L660" s="295">
        <f t="shared" si="142"/>
        <v>147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7475</v>
      </c>
      <c r="F662" s="454"/>
      <c r="G662" s="455">
        <v>7475</v>
      </c>
      <c r="H662" s="1428"/>
      <c r="I662" s="454"/>
      <c r="J662" s="455">
        <v>7475</v>
      </c>
      <c r="K662" s="1428"/>
      <c r="L662" s="320">
        <f t="shared" si="142"/>
        <v>7475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64151</v>
      </c>
      <c r="F672" s="173"/>
      <c r="G672" s="174">
        <v>64151</v>
      </c>
      <c r="H672" s="1421"/>
      <c r="I672" s="173"/>
      <c r="J672" s="174">
        <v>0</v>
      </c>
      <c r="K672" s="1421"/>
      <c r="L672" s="287">
        <f t="shared" si="142"/>
        <v>0</v>
      </c>
      <c r="M672" s="12">
        <f t="shared" si="143"/>
        <v>1</v>
      </c>
      <c r="N672" s="13"/>
    </row>
    <row r="673" spans="2:14" ht="15.75">
      <c r="B673" s="272">
        <v>1900</v>
      </c>
      <c r="C673" s="1803" t="s">
        <v>272</v>
      </c>
      <c r="D673" s="180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803" t="s">
        <v>722</v>
      </c>
      <c r="D677" s="180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803" t="s">
        <v>219</v>
      </c>
      <c r="D683" s="180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803" t="s">
        <v>221</v>
      </c>
      <c r="D686" s="1804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805" t="s">
        <v>222</v>
      </c>
      <c r="D687" s="1806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805" t="s">
        <v>223</v>
      </c>
      <c r="D688" s="1806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805" t="s">
        <v>1662</v>
      </c>
      <c r="D689" s="1806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803" t="s">
        <v>224</v>
      </c>
      <c r="D690" s="180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1659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803" t="s">
        <v>234</v>
      </c>
      <c r="D705" s="1804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803" t="s">
        <v>235</v>
      </c>
      <c r="D706" s="1804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803" t="s">
        <v>236</v>
      </c>
      <c r="D707" s="1804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803" t="s">
        <v>237</v>
      </c>
      <c r="D708" s="180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803" t="s">
        <v>1663</v>
      </c>
      <c r="D715" s="180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803" t="s">
        <v>1660</v>
      </c>
      <c r="D719" s="1804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803" t="s">
        <v>1661</v>
      </c>
      <c r="D720" s="1804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805" t="s">
        <v>247</v>
      </c>
      <c r="D721" s="1806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803" t="s">
        <v>273</v>
      </c>
      <c r="D722" s="180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801" t="s">
        <v>248</v>
      </c>
      <c r="D725" s="1802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801" t="s">
        <v>249</v>
      </c>
      <c r="D726" s="1802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801" t="s">
        <v>625</v>
      </c>
      <c r="D734" s="1802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801" t="s">
        <v>685</v>
      </c>
      <c r="D737" s="1802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803" t="s">
        <v>686</v>
      </c>
      <c r="D738" s="180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6" t="s">
        <v>915</v>
      </c>
      <c r="D743" s="1797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98" t="s">
        <v>694</v>
      </c>
      <c r="D747" s="1799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98" t="s">
        <v>694</v>
      </c>
      <c r="D748" s="1799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911218</v>
      </c>
      <c r="F752" s="396">
        <f t="shared" si="169"/>
        <v>0</v>
      </c>
      <c r="G752" s="397">
        <f t="shared" si="169"/>
        <v>911218</v>
      </c>
      <c r="H752" s="398">
        <f t="shared" si="169"/>
        <v>0</v>
      </c>
      <c r="I752" s="396">
        <f t="shared" si="169"/>
        <v>0</v>
      </c>
      <c r="J752" s="397">
        <f t="shared" si="169"/>
        <v>205561</v>
      </c>
      <c r="K752" s="398">
        <f t="shared" si="169"/>
        <v>0</v>
      </c>
      <c r="L752" s="395">
        <f t="shared" si="169"/>
        <v>205561</v>
      </c>
      <c r="M752" s="12">
        <f t="shared" si="166"/>
        <v>1</v>
      </c>
      <c r="N752" s="73" t="str">
        <f>LEFT(C634,1)</f>
        <v>5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88" t="str">
        <f>$B$7</f>
        <v>ОТЧЕТНИ ДАННИ ПО ЕБК ЗА СМЕТКИТЕ ЗА СРЕДСТВАТА ОТ ЕВРОПЕЙСКИЯ СЪЮЗ - КСФ</v>
      </c>
      <c r="C759" s="1789"/>
      <c r="D759" s="178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1253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0" t="str">
        <f>$B$9</f>
        <v>Симеоновград</v>
      </c>
      <c r="C761" s="1781"/>
      <c r="D761" s="1782"/>
      <c r="E761" s="115">
        <f>$E$9</f>
        <v>43466</v>
      </c>
      <c r="F761" s="226">
        <f>$F$9</f>
        <v>43555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39" t="str">
        <f>$B$12</f>
        <v>Симеоновград</v>
      </c>
      <c r="C764" s="1840"/>
      <c r="D764" s="1841"/>
      <c r="E764" s="410" t="s">
        <v>890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824" t="s">
        <v>2049</v>
      </c>
      <c r="F768" s="1825"/>
      <c r="G768" s="1825"/>
      <c r="H768" s="1826"/>
      <c r="I768" s="1833" t="s">
        <v>2050</v>
      </c>
      <c r="J768" s="1834"/>
      <c r="K768" s="1834"/>
      <c r="L768" s="1835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7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664" t="str">
        <f>VLOOKUP(D771,OP_LIST2,2,FALSE)</f>
        <v>98301</v>
      </c>
      <c r="D771" s="1452" t="s">
        <v>653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5532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5532</v>
      </c>
      <c r="D773" s="1452" t="s">
        <v>564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813" t="s">
        <v>744</v>
      </c>
      <c r="D775" s="1814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809" t="s">
        <v>747</v>
      </c>
      <c r="D778" s="1810"/>
      <c r="E778" s="273">
        <f aca="true" t="shared" si="172" ref="E778:L778">SUM(E779:E783)</f>
        <v>52935</v>
      </c>
      <c r="F778" s="274">
        <f t="shared" si="172"/>
        <v>52935</v>
      </c>
      <c r="G778" s="275">
        <f t="shared" si="172"/>
        <v>0</v>
      </c>
      <c r="H778" s="276">
        <f t="shared" si="172"/>
        <v>0</v>
      </c>
      <c r="I778" s="274">
        <f t="shared" si="172"/>
        <v>33094</v>
      </c>
      <c r="J778" s="275">
        <f t="shared" si="172"/>
        <v>0</v>
      </c>
      <c r="K778" s="276">
        <f t="shared" si="172"/>
        <v>0</v>
      </c>
      <c r="L778" s="273">
        <f t="shared" si="172"/>
        <v>33094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52935</v>
      </c>
      <c r="F779" s="152">
        <v>52935</v>
      </c>
      <c r="G779" s="153"/>
      <c r="H779" s="1418"/>
      <c r="I779" s="152">
        <v>33094</v>
      </c>
      <c r="J779" s="153"/>
      <c r="K779" s="1418"/>
      <c r="L779" s="281">
        <f>I779+J779+K779</f>
        <v>33094</v>
      </c>
      <c r="M779" s="12">
        <f t="shared" si="171"/>
        <v>1</v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811" t="s">
        <v>194</v>
      </c>
      <c r="D784" s="1812"/>
      <c r="E784" s="273">
        <f aca="true" t="shared" si="173" ref="E784:L784">SUM(E785:E791)</f>
        <v>10174</v>
      </c>
      <c r="F784" s="274">
        <f t="shared" si="173"/>
        <v>10174</v>
      </c>
      <c r="G784" s="275">
        <f t="shared" si="173"/>
        <v>0</v>
      </c>
      <c r="H784" s="276">
        <f t="shared" si="173"/>
        <v>0</v>
      </c>
      <c r="I784" s="274">
        <f t="shared" si="173"/>
        <v>6421</v>
      </c>
      <c r="J784" s="275">
        <f t="shared" si="173"/>
        <v>0</v>
      </c>
      <c r="K784" s="276">
        <f t="shared" si="173"/>
        <v>0</v>
      </c>
      <c r="L784" s="273">
        <f t="shared" si="173"/>
        <v>6421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6223</v>
      </c>
      <c r="F785" s="152">
        <v>6223</v>
      </c>
      <c r="G785" s="153"/>
      <c r="H785" s="1418"/>
      <c r="I785" s="152">
        <v>3894</v>
      </c>
      <c r="J785" s="153"/>
      <c r="K785" s="1418"/>
      <c r="L785" s="281">
        <f aca="true" t="shared" si="175" ref="L785:L792">I785+J785+K785</f>
        <v>3894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910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2542</v>
      </c>
      <c r="F788" s="158">
        <v>2542</v>
      </c>
      <c r="G788" s="159"/>
      <c r="H788" s="1420"/>
      <c r="I788" s="158">
        <v>1646</v>
      </c>
      <c r="J788" s="159"/>
      <c r="K788" s="1420"/>
      <c r="L788" s="295">
        <f t="shared" si="175"/>
        <v>1646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1409</v>
      </c>
      <c r="F789" s="158">
        <v>1409</v>
      </c>
      <c r="G789" s="159"/>
      <c r="H789" s="1420"/>
      <c r="I789" s="158">
        <v>881</v>
      </c>
      <c r="J789" s="159"/>
      <c r="K789" s="1420"/>
      <c r="L789" s="295">
        <f t="shared" si="175"/>
        <v>881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807" t="s">
        <v>199</v>
      </c>
      <c r="D792" s="180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809" t="s">
        <v>200</v>
      </c>
      <c r="D793" s="1810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911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803" t="s">
        <v>272</v>
      </c>
      <c r="D811" s="1804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912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913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914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803" t="s">
        <v>722</v>
      </c>
      <c r="D815" s="1804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803" t="s">
        <v>219</v>
      </c>
      <c r="D821" s="1804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803" t="s">
        <v>221</v>
      </c>
      <c r="D824" s="1804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805" t="s">
        <v>222</v>
      </c>
      <c r="D825" s="1806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805" t="s">
        <v>223</v>
      </c>
      <c r="D826" s="1806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805" t="s">
        <v>1662</v>
      </c>
      <c r="D827" s="1806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803" t="s">
        <v>224</v>
      </c>
      <c r="D828" s="1804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1996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2015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2046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1659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803" t="s">
        <v>234</v>
      </c>
      <c r="D843" s="1804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803" t="s">
        <v>235</v>
      </c>
      <c r="D844" s="1804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803" t="s">
        <v>236</v>
      </c>
      <c r="D845" s="1804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3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803" t="s">
        <v>237</v>
      </c>
      <c r="D846" s="1804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803" t="s">
        <v>1663</v>
      </c>
      <c r="D853" s="1804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803" t="s">
        <v>1660</v>
      </c>
      <c r="D857" s="1804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803" t="s">
        <v>1661</v>
      </c>
      <c r="D858" s="1804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805" t="s">
        <v>247</v>
      </c>
      <c r="D859" s="1806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803" t="s">
        <v>273</v>
      </c>
      <c r="D860" s="1804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801" t="s">
        <v>248</v>
      </c>
      <c r="D863" s="1802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801" t="s">
        <v>249</v>
      </c>
      <c r="D864" s="1802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620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621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622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623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624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801" t="s">
        <v>625</v>
      </c>
      <c r="D872" s="1802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801" t="s">
        <v>685</v>
      </c>
      <c r="D875" s="1802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803" t="s">
        <v>686</v>
      </c>
      <c r="D876" s="1804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6" t="s">
        <v>915</v>
      </c>
      <c r="D881" s="1797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3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3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3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98" t="s">
        <v>694</v>
      </c>
      <c r="D885" s="1799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98" t="s">
        <v>694</v>
      </c>
      <c r="D886" s="1799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63109</v>
      </c>
      <c r="F890" s="396">
        <f t="shared" si="205"/>
        <v>63109</v>
      </c>
      <c r="G890" s="397">
        <f t="shared" si="205"/>
        <v>0</v>
      </c>
      <c r="H890" s="398">
        <f t="shared" si="205"/>
        <v>0</v>
      </c>
      <c r="I890" s="396">
        <f t="shared" si="205"/>
        <v>39515</v>
      </c>
      <c r="J890" s="397">
        <f t="shared" si="205"/>
        <v>0</v>
      </c>
      <c r="K890" s="398">
        <f t="shared" si="205"/>
        <v>0</v>
      </c>
      <c r="L890" s="395">
        <f t="shared" si="205"/>
        <v>39515</v>
      </c>
      <c r="M890" s="12">
        <f t="shared" si="202"/>
        <v>1</v>
      </c>
      <c r="N890" s="73" t="str">
        <f>LEFT(C772,1)</f>
        <v>5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77"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2066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2067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2072</v>
      </c>
      <c r="I3" s="61"/>
    </row>
    <row r="4" spans="1:9" ht="15.75">
      <c r="A4" s="61" t="s">
        <v>710</v>
      </c>
      <c r="B4" s="61" t="s">
        <v>2048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8">
        <f>$B$7</f>
        <v>0</v>
      </c>
      <c r="J14" s="1789"/>
      <c r="K14" s="178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4" t="s">
        <v>2049</v>
      </c>
      <c r="M23" s="1825"/>
      <c r="N23" s="1825"/>
      <c r="O23" s="1826"/>
      <c r="P23" s="1833" t="s">
        <v>2050</v>
      </c>
      <c r="Q23" s="1834"/>
      <c r="R23" s="1834"/>
      <c r="S23" s="183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3" t="s">
        <v>744</v>
      </c>
      <c r="K30" s="181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9" t="s">
        <v>747</v>
      </c>
      <c r="K33" s="181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1" t="s">
        <v>194</v>
      </c>
      <c r="K39" s="181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7" t="s">
        <v>199</v>
      </c>
      <c r="K47" s="180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9" t="s">
        <v>200</v>
      </c>
      <c r="K48" s="181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3" t="s">
        <v>272</v>
      </c>
      <c r="K66" s="180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3" t="s">
        <v>722</v>
      </c>
      <c r="K70" s="180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3" t="s">
        <v>219</v>
      </c>
      <c r="K76" s="180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3" t="s">
        <v>221</v>
      </c>
      <c r="K79" s="180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5" t="s">
        <v>222</v>
      </c>
      <c r="K80" s="180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5" t="s">
        <v>223</v>
      </c>
      <c r="K81" s="180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5" t="s">
        <v>1662</v>
      </c>
      <c r="K82" s="180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3" t="s">
        <v>224</v>
      </c>
      <c r="K83" s="180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3" t="s">
        <v>234</v>
      </c>
      <c r="K98" s="180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3" t="s">
        <v>235</v>
      </c>
      <c r="K99" s="180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3" t="s">
        <v>236</v>
      </c>
      <c r="K100" s="180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3" t="s">
        <v>237</v>
      </c>
      <c r="K101" s="180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3" t="s">
        <v>1663</v>
      </c>
      <c r="K108" s="180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3" t="s">
        <v>1660</v>
      </c>
      <c r="K112" s="180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3" t="s">
        <v>1661</v>
      </c>
      <c r="K113" s="180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5" t="s">
        <v>247</v>
      </c>
      <c r="K114" s="180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3" t="s">
        <v>273</v>
      </c>
      <c r="K115" s="180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1" t="s">
        <v>248</v>
      </c>
      <c r="K118" s="180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1" t="s">
        <v>249</v>
      </c>
      <c r="K119" s="180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1" t="s">
        <v>625</v>
      </c>
      <c r="K127" s="180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1" t="s">
        <v>685</v>
      </c>
      <c r="K130" s="180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3" t="s">
        <v>686</v>
      </c>
      <c r="K131" s="180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915</v>
      </c>
      <c r="K136" s="179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694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694</v>
      </c>
      <c r="K141" s="179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Geri</cp:lastModifiedBy>
  <cp:lastPrinted>2019-01-10T13:58:54Z</cp:lastPrinted>
  <dcterms:created xsi:type="dcterms:W3CDTF">1997-12-10T11:54:07Z</dcterms:created>
  <dcterms:modified xsi:type="dcterms:W3CDTF">2019-04-22T12:23:58Z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